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240" yWindow="0" windowWidth="15630" windowHeight="12420"/>
  </bookViews>
  <sheets>
    <sheet name="7 показатели " sheetId="1" r:id="rId1"/>
    <sheet name="8 средства по кодам" sheetId="13" r:id="rId2"/>
    <sheet name="9 средства бюджет" sheetId="12" r:id="rId3"/>
    <sheet name="10 Инвестиц П" sheetId="6" r:id="rId4"/>
  </sheets>
  <definedNames>
    <definedName name="_xlnm._FilterDatabase" localSheetId="1" hidden="1">'8 средства по кодам'!$A$11:$S$173</definedName>
    <definedName name="_xlnm.Print_Area" localSheetId="3">'10 Инвестиц П'!$A$1:$P$27</definedName>
    <definedName name="_xlnm.Print_Area" localSheetId="0">'7 показатели '!$A$1:$L$51</definedName>
    <definedName name="_xlnm.Print_Area" localSheetId="1">'8 средства по кодам'!$A$3:$P$181</definedName>
    <definedName name="_xlnm.Print_Area" localSheetId="2">'9 средства бюджет'!$A$1:$L$55</definedName>
  </definedNames>
  <calcPr calcId="162913"/>
</workbook>
</file>

<file path=xl/calcChain.xml><?xml version="1.0" encoding="utf-8"?>
<calcChain xmlns="http://schemas.openxmlformats.org/spreadsheetml/2006/main">
  <c r="N10" i="12" l="1"/>
  <c r="N8" i="12"/>
  <c r="F32" i="12"/>
  <c r="G32" i="12"/>
  <c r="H32" i="12"/>
  <c r="I32" i="12"/>
  <c r="N32" i="12"/>
  <c r="J32" i="13"/>
  <c r="H11" i="12"/>
  <c r="I11" i="12"/>
  <c r="H12" i="12"/>
  <c r="I12" i="12"/>
  <c r="N12" i="12"/>
  <c r="H10" i="12"/>
  <c r="I10" i="12"/>
  <c r="F12" i="12"/>
  <c r="F11" i="12"/>
  <c r="F10" i="12"/>
  <c r="G10" i="12"/>
  <c r="F20" i="12"/>
  <c r="J50" i="13"/>
  <c r="M31" i="13"/>
  <c r="L50" i="13"/>
  <c r="L68" i="13"/>
  <c r="L15" i="13"/>
  <c r="S21" i="13"/>
  <c r="S22" i="13"/>
  <c r="S23" i="13"/>
  <c r="S24" i="13"/>
  <c r="S25" i="13"/>
  <c r="S26" i="13"/>
  <c r="S27" i="13"/>
  <c r="S28" i="13"/>
  <c r="S29" i="13"/>
  <c r="S30" i="13"/>
  <c r="S31" i="13"/>
  <c r="S33" i="13"/>
  <c r="S34" i="13"/>
  <c r="S35" i="13"/>
  <c r="S36" i="13"/>
  <c r="S37" i="13"/>
  <c r="S38" i="13"/>
  <c r="S39" i="13"/>
  <c r="S40" i="13"/>
  <c r="S41" i="13"/>
  <c r="S42" i="13"/>
  <c r="S43" i="13"/>
  <c r="S44" i="13"/>
  <c r="S45" i="13"/>
  <c r="S46" i="13"/>
  <c r="S47" i="13"/>
  <c r="S48" i="13"/>
  <c r="S49" i="13"/>
  <c r="S50" i="13"/>
  <c r="S51" i="13"/>
  <c r="S52" i="13"/>
  <c r="S53" i="13"/>
  <c r="S54" i="13"/>
  <c r="S55" i="13"/>
  <c r="S56" i="13"/>
  <c r="S57" i="13"/>
  <c r="S58" i="13"/>
  <c r="S59" i="13"/>
  <c r="S60" i="13"/>
  <c r="S61" i="13"/>
  <c r="S62" i="13"/>
  <c r="S63" i="13"/>
  <c r="S64" i="13"/>
  <c r="S65" i="13"/>
  <c r="S66" i="13"/>
  <c r="S67" i="13"/>
  <c r="S69" i="13"/>
  <c r="S70" i="13"/>
  <c r="S71" i="13"/>
  <c r="S72" i="13"/>
  <c r="S73" i="13"/>
  <c r="S74" i="13"/>
  <c r="S75" i="13"/>
  <c r="S76" i="13"/>
  <c r="S77" i="13"/>
  <c r="S78" i="13"/>
  <c r="S79" i="13"/>
  <c r="S80" i="13"/>
  <c r="S81" i="13"/>
  <c r="S82" i="13"/>
  <c r="S83" i="13"/>
  <c r="S84" i="13"/>
  <c r="S85" i="13"/>
  <c r="S87" i="13"/>
  <c r="S88" i="13"/>
  <c r="S89" i="13"/>
  <c r="S90" i="13"/>
  <c r="S91" i="13"/>
  <c r="S92" i="13"/>
  <c r="S93" i="13"/>
  <c r="S94" i="13"/>
  <c r="S95" i="13"/>
  <c r="S96" i="13"/>
  <c r="S97" i="13"/>
  <c r="S98" i="13"/>
  <c r="S99" i="13"/>
  <c r="S100" i="13"/>
  <c r="S101" i="13"/>
  <c r="S102" i="13"/>
  <c r="S103" i="13"/>
  <c r="S104" i="13"/>
  <c r="S105" i="13"/>
  <c r="S106" i="13"/>
  <c r="S107" i="13"/>
  <c r="S108" i="13"/>
  <c r="S109" i="13"/>
  <c r="S110" i="13"/>
  <c r="S112" i="13"/>
  <c r="S113" i="13"/>
  <c r="S114" i="13"/>
  <c r="S115" i="13"/>
  <c r="S116" i="13"/>
  <c r="S118" i="13"/>
  <c r="S119" i="13"/>
  <c r="S120" i="13"/>
  <c r="S121" i="13"/>
  <c r="S122" i="13"/>
  <c r="S123" i="13"/>
  <c r="S125" i="13"/>
  <c r="S126" i="13"/>
  <c r="S127" i="13"/>
  <c r="S128" i="13"/>
  <c r="S129" i="13"/>
  <c r="S130" i="13"/>
  <c r="S131" i="13"/>
  <c r="S132" i="13"/>
  <c r="S133" i="13"/>
  <c r="S134" i="13"/>
  <c r="S135" i="13"/>
  <c r="S136" i="13"/>
  <c r="S137" i="13"/>
  <c r="S138" i="13"/>
  <c r="S139" i="13"/>
  <c r="S140" i="13"/>
  <c r="S141" i="13"/>
  <c r="S142" i="13"/>
  <c r="S143" i="13"/>
  <c r="S144" i="13"/>
  <c r="S145" i="13"/>
  <c r="S146" i="13"/>
  <c r="S147" i="13"/>
  <c r="S148" i="13"/>
  <c r="S149" i="13"/>
  <c r="S150" i="13"/>
  <c r="S151" i="13"/>
  <c r="S152" i="13"/>
  <c r="S153" i="13"/>
  <c r="S154" i="13"/>
  <c r="S155" i="13"/>
  <c r="S156" i="13"/>
  <c r="S157" i="13"/>
  <c r="S158" i="13"/>
  <c r="S159" i="13"/>
  <c r="S160" i="13"/>
  <c r="S161" i="13"/>
  <c r="S162" i="13"/>
  <c r="S163" i="13"/>
  <c r="S164" i="13"/>
  <c r="S165" i="13"/>
  <c r="S166" i="13"/>
  <c r="S167" i="13"/>
  <c r="S168" i="13"/>
  <c r="S169" i="13"/>
  <c r="S170" i="13"/>
  <c r="S171" i="13"/>
  <c r="S172" i="13"/>
  <c r="S20" i="13"/>
  <c r="R20" i="13"/>
  <c r="L172" i="13"/>
  <c r="L32" i="13"/>
  <c r="K172" i="13"/>
  <c r="M172" i="13"/>
  <c r="N172" i="13"/>
  <c r="O172" i="13"/>
  <c r="J172" i="13"/>
  <c r="M100" i="13"/>
  <c r="M165" i="13"/>
  <c r="L165" i="13"/>
  <c r="K165" i="13"/>
  <c r="J165" i="13"/>
  <c r="R165" i="13"/>
  <c r="J125" i="13"/>
  <c r="L124" i="13"/>
  <c r="M125" i="13"/>
  <c r="M15" i="13"/>
  <c r="J15" i="13"/>
  <c r="M51" i="13"/>
  <c r="L51" i="13"/>
  <c r="J51" i="13"/>
  <c r="M50" i="13"/>
  <c r="M109" i="13"/>
  <c r="L109" i="13"/>
  <c r="L100" i="13"/>
  <c r="L65" i="13"/>
  <c r="L64" i="13"/>
  <c r="M85" i="13"/>
  <c r="L85" i="13"/>
  <c r="L86" i="13"/>
  <c r="S86" i="13"/>
  <c r="M59" i="13"/>
  <c r="L59" i="13"/>
  <c r="M56" i="13"/>
  <c r="L56" i="13"/>
  <c r="M52" i="13"/>
  <c r="L52" i="13"/>
  <c r="K52" i="13"/>
  <c r="J52" i="13"/>
  <c r="L31" i="13"/>
  <c r="K36" i="12"/>
  <c r="K35" i="12"/>
  <c r="K34" i="12"/>
  <c r="K10" i="12"/>
  <c r="K8" i="12"/>
  <c r="J35" i="12"/>
  <c r="J34" i="12"/>
  <c r="O15" i="13"/>
  <c r="N15" i="13"/>
  <c r="K15" i="13"/>
  <c r="R15" i="13"/>
  <c r="I15" i="13"/>
  <c r="H15" i="13"/>
  <c r="E28" i="12"/>
  <c r="D28" i="12"/>
  <c r="D36" i="12"/>
  <c r="I125" i="13"/>
  <c r="H125" i="13"/>
  <c r="I172" i="13"/>
  <c r="H172" i="13"/>
  <c r="H165" i="13"/>
  <c r="H111" i="13"/>
  <c r="H19" i="13"/>
  <c r="H16" i="13"/>
  <c r="H90" i="13"/>
  <c r="H86" i="13"/>
  <c r="H68" i="13"/>
  <c r="H32" i="13"/>
  <c r="I165" i="13"/>
  <c r="H20" i="13"/>
  <c r="J36" i="12"/>
  <c r="J12" i="12"/>
  <c r="K12" i="12"/>
  <c r="J10" i="12"/>
  <c r="K11" i="12"/>
  <c r="J11" i="12"/>
  <c r="J8" i="12"/>
  <c r="G12" i="12"/>
  <c r="E27" i="12"/>
  <c r="E24" i="12"/>
  <c r="E11" i="12"/>
  <c r="D27" i="12"/>
  <c r="D11" i="12"/>
  <c r="E36" i="12"/>
  <c r="E35" i="12"/>
  <c r="D35" i="12"/>
  <c r="D10" i="12"/>
  <c r="D8" i="12"/>
  <c r="E10" i="12"/>
  <c r="E12" i="12"/>
  <c r="D13" i="12"/>
  <c r="E13" i="12"/>
  <c r="D14" i="12"/>
  <c r="E14" i="12"/>
  <c r="D15" i="12"/>
  <c r="E15" i="12"/>
  <c r="D16" i="12"/>
  <c r="E16" i="12"/>
  <c r="R171" i="13"/>
  <c r="R170" i="13"/>
  <c r="R167" i="13"/>
  <c r="R166" i="13"/>
  <c r="R164" i="13"/>
  <c r="R163" i="13"/>
  <c r="R162" i="13"/>
  <c r="R161" i="13"/>
  <c r="R160" i="13"/>
  <c r="R159" i="13"/>
  <c r="R158" i="13"/>
  <c r="R157" i="13"/>
  <c r="R156" i="13"/>
  <c r="R155" i="13"/>
  <c r="R154" i="13"/>
  <c r="R153" i="13"/>
  <c r="R152" i="13"/>
  <c r="R151" i="13"/>
  <c r="R150" i="13"/>
  <c r="R149" i="13"/>
  <c r="R148" i="13"/>
  <c r="R147" i="13"/>
  <c r="R146" i="13"/>
  <c r="R145" i="13"/>
  <c r="R144" i="13"/>
  <c r="R143" i="13"/>
  <c r="R142" i="13"/>
  <c r="R141" i="13"/>
  <c r="R140" i="13"/>
  <c r="R139" i="13"/>
  <c r="R138" i="13"/>
  <c r="R137" i="13"/>
  <c r="R136" i="13"/>
  <c r="R135" i="13"/>
  <c r="R134" i="13"/>
  <c r="R133" i="13"/>
  <c r="R132" i="13"/>
  <c r="R131" i="13"/>
  <c r="R130" i="13"/>
  <c r="R129" i="13"/>
  <c r="R128" i="13"/>
  <c r="R127" i="13"/>
  <c r="R126" i="13"/>
  <c r="R123" i="13"/>
  <c r="R122" i="13"/>
  <c r="R121" i="13"/>
  <c r="R120" i="13"/>
  <c r="R119" i="13"/>
  <c r="R118" i="13"/>
  <c r="R116" i="13"/>
  <c r="R115" i="13"/>
  <c r="R114" i="13"/>
  <c r="R113" i="13"/>
  <c r="R112" i="13"/>
  <c r="R110" i="13"/>
  <c r="R109" i="13"/>
  <c r="R108" i="13"/>
  <c r="R107" i="13"/>
  <c r="R106" i="13"/>
  <c r="R105" i="13"/>
  <c r="R104" i="13"/>
  <c r="R103" i="13"/>
  <c r="R102" i="13"/>
  <c r="R101" i="13"/>
  <c r="R100" i="13"/>
  <c r="R99" i="13"/>
  <c r="R98" i="13"/>
  <c r="R97" i="13"/>
  <c r="R96" i="13"/>
  <c r="R95" i="13"/>
  <c r="R94" i="13"/>
  <c r="R93" i="13"/>
  <c r="R92" i="13"/>
  <c r="R91" i="13"/>
  <c r="R89" i="13"/>
  <c r="R88" i="13"/>
  <c r="R87" i="13"/>
  <c r="R85" i="13"/>
  <c r="R84" i="13"/>
  <c r="R83" i="13"/>
  <c r="R82" i="13"/>
  <c r="R81" i="13"/>
  <c r="R80" i="13"/>
  <c r="R79" i="13"/>
  <c r="R77" i="13"/>
  <c r="R76" i="13"/>
  <c r="R75" i="13"/>
  <c r="R74" i="13"/>
  <c r="R73" i="13"/>
  <c r="R72" i="13"/>
  <c r="R71" i="13"/>
  <c r="R70" i="13"/>
  <c r="R69" i="13"/>
  <c r="R67" i="13"/>
  <c r="R66" i="13"/>
  <c r="R65" i="13"/>
  <c r="R64" i="13"/>
  <c r="R63" i="13"/>
  <c r="R62" i="13"/>
  <c r="R61" i="13"/>
  <c r="R60" i="13"/>
  <c r="R59" i="13"/>
  <c r="R58" i="13"/>
  <c r="R57" i="13"/>
  <c r="R56" i="13"/>
  <c r="R55" i="13"/>
  <c r="R54" i="13"/>
  <c r="R53" i="13"/>
  <c r="R52" i="13"/>
  <c r="R51" i="13"/>
  <c r="R50" i="13"/>
  <c r="R49" i="13"/>
  <c r="R48" i="13"/>
  <c r="R47" i="13"/>
  <c r="R46" i="13"/>
  <c r="R45" i="13"/>
  <c r="R44" i="13"/>
  <c r="R43" i="13"/>
  <c r="R42" i="13"/>
  <c r="R41" i="13"/>
  <c r="R40" i="13"/>
  <c r="R39" i="13"/>
  <c r="R38" i="13"/>
  <c r="R37" i="13"/>
  <c r="R36" i="13"/>
  <c r="R35" i="13"/>
  <c r="R34" i="13"/>
  <c r="R33" i="13"/>
  <c r="R31" i="13"/>
  <c r="R30" i="13"/>
  <c r="R29" i="13"/>
  <c r="R28" i="13"/>
  <c r="R27" i="13"/>
  <c r="R26" i="13"/>
  <c r="R25" i="13"/>
  <c r="R24" i="13"/>
  <c r="R23" i="13"/>
  <c r="R22" i="13"/>
  <c r="R21" i="13"/>
  <c r="K20" i="13"/>
  <c r="D12" i="12"/>
  <c r="K32" i="13"/>
  <c r="K68" i="13"/>
  <c r="K86" i="13"/>
  <c r="K111" i="13"/>
  <c r="K16" i="13"/>
  <c r="J68" i="13"/>
  <c r="J86" i="13"/>
  <c r="R86" i="13"/>
  <c r="H27" i="13"/>
  <c r="H22" i="13"/>
  <c r="I20" i="13"/>
  <c r="I32" i="13"/>
  <c r="N11" i="12"/>
  <c r="L111" i="13"/>
  <c r="L19" i="13"/>
  <c r="L16" i="13"/>
  <c r="N111" i="13"/>
  <c r="N19" i="13"/>
  <c r="N16" i="13"/>
  <c r="M111" i="13"/>
  <c r="S111" i="13"/>
  <c r="G11" i="12"/>
  <c r="G13" i="12"/>
  <c r="H13" i="12"/>
  <c r="O125" i="13"/>
  <c r="N125" i="13"/>
  <c r="L125" i="13"/>
  <c r="O165" i="13"/>
  <c r="N165" i="13"/>
  <c r="E32" i="12"/>
  <c r="N36" i="12"/>
  <c r="D32" i="12"/>
  <c r="M86" i="13"/>
  <c r="I111" i="13"/>
  <c r="I19" i="13"/>
  <c r="I16" i="13"/>
  <c r="O126" i="13"/>
  <c r="O111" i="13"/>
  <c r="O90" i="13"/>
  <c r="O68" i="13"/>
  <c r="J111" i="13"/>
  <c r="J16" i="13"/>
  <c r="I68" i="13"/>
  <c r="N20" i="12"/>
  <c r="N34" i="12"/>
  <c r="N35" i="12"/>
  <c r="L90" i="13"/>
  <c r="N86" i="13"/>
  <c r="N68" i="13"/>
  <c r="I124" i="13"/>
  <c r="H124" i="13"/>
  <c r="I117" i="13"/>
  <c r="H117" i="13"/>
  <c r="I90" i="13"/>
  <c r="I86" i="13"/>
  <c r="K32" i="12"/>
  <c r="J32" i="12"/>
  <c r="K24" i="12"/>
  <c r="J24" i="12"/>
  <c r="K16" i="12"/>
  <c r="J16" i="12"/>
  <c r="K15" i="12"/>
  <c r="J15" i="12"/>
  <c r="K14" i="12"/>
  <c r="J14" i="12"/>
  <c r="K13" i="12"/>
  <c r="J13" i="12"/>
  <c r="O124" i="13"/>
  <c r="N124" i="13"/>
  <c r="O117" i="13"/>
  <c r="N117" i="13"/>
  <c r="N90" i="13"/>
  <c r="N32" i="13"/>
  <c r="J90" i="13"/>
  <c r="K90" i="13"/>
  <c r="M90" i="13"/>
  <c r="M32" i="13"/>
  <c r="S32" i="13"/>
  <c r="J124" i="13"/>
  <c r="K124" i="13"/>
  <c r="R124" i="13"/>
  <c r="M124" i="13"/>
  <c r="S124" i="13"/>
  <c r="K125" i="13"/>
  <c r="J117" i="13"/>
  <c r="R117" i="13"/>
  <c r="K117" i="13"/>
  <c r="L117" i="13"/>
  <c r="M117" i="13"/>
  <c r="S117" i="13"/>
  <c r="G24" i="12"/>
  <c r="I24" i="12"/>
  <c r="I16" i="12"/>
  <c r="G16" i="12"/>
  <c r="F16" i="12"/>
  <c r="F15" i="12"/>
  <c r="G15" i="12"/>
  <c r="H15" i="12"/>
  <c r="I15" i="12"/>
  <c r="G14" i="12"/>
  <c r="H14" i="12"/>
  <c r="I14" i="12"/>
  <c r="F13" i="12"/>
  <c r="H16" i="12"/>
  <c r="N16" i="12"/>
  <c r="R125" i="13"/>
  <c r="N28" i="12"/>
  <c r="H24" i="12"/>
  <c r="N24" i="12"/>
  <c r="O32" i="13"/>
  <c r="O86" i="13"/>
  <c r="F14" i="12"/>
  <c r="F24" i="12"/>
  <c r="E8" i="12"/>
  <c r="R172" i="13"/>
  <c r="R90" i="13"/>
  <c r="D24" i="12"/>
  <c r="H8" i="12"/>
  <c r="R32" i="13"/>
  <c r="O19" i="13"/>
  <c r="O16" i="13"/>
  <c r="O14" i="13"/>
  <c r="O12" i="13"/>
  <c r="M68" i="13"/>
  <c r="R68" i="13"/>
  <c r="S68" i="13"/>
  <c r="I14" i="13"/>
  <c r="I12" i="13"/>
  <c r="N14" i="13"/>
  <c r="N12" i="13"/>
  <c r="J14" i="13"/>
  <c r="J12" i="13"/>
  <c r="L14" i="13"/>
  <c r="L12" i="13"/>
  <c r="H14" i="13"/>
  <c r="H12" i="13"/>
  <c r="M19" i="13"/>
  <c r="M16" i="13"/>
  <c r="M14" i="13"/>
  <c r="M12" i="13"/>
  <c r="K14" i="13"/>
  <c r="Q16" i="13"/>
  <c r="R16" i="13"/>
  <c r="J19" i="13"/>
  <c r="K19" i="13"/>
  <c r="R19" i="13"/>
  <c r="R111" i="13"/>
  <c r="F8" i="12"/>
  <c r="I8" i="12"/>
  <c r="G8" i="12"/>
  <c r="K12" i="13"/>
  <c r="R12" i="13"/>
  <c r="R14" i="13"/>
</calcChain>
</file>

<file path=xl/sharedStrings.xml><?xml version="1.0" encoding="utf-8"?>
<sst xmlns="http://schemas.openxmlformats.org/spreadsheetml/2006/main" count="923" uniqueCount="273">
  <si>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</si>
  <si>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</si>
  <si>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</si>
  <si>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</si>
  <si>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</si>
  <si>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</si>
  <si>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</si>
  <si>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</si>
  <si>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Цель</t>
  </si>
  <si>
    <t>Задача 1</t>
  </si>
  <si>
    <t>…</t>
  </si>
  <si>
    <t>Задача 2</t>
  </si>
  <si>
    <t>тыс. рублей</t>
  </si>
  <si>
    <t>федеральный бюджет</t>
  </si>
  <si>
    <t>за январь   -    20__ __ г. (нарастающим итогом)</t>
  </si>
  <si>
    <t>Целевой показатель 1</t>
  </si>
  <si>
    <t>Целевой показатель n</t>
  </si>
  <si>
    <t>Ед. измере-ния</t>
  </si>
  <si>
    <t>январь - июнь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</si>
  <si>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</si>
  <si>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</si>
  <si>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</si>
  <si>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</si>
  <si>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</si>
  <si>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</si>
  <si>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</si>
  <si>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</si>
  <si>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</si>
  <si>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</si>
  <si>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</si>
  <si>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</si>
  <si>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</si>
  <si>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</si>
  <si>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подпрограмма 1.1.</t>
  </si>
  <si>
    <t>подпрограмма 1.2.</t>
  </si>
  <si>
    <t>подпрограмма 2.1..</t>
  </si>
  <si>
    <t>подпрограмма 2.2.</t>
  </si>
  <si>
    <t>Подпрограмма 1</t>
  </si>
  <si>
    <t>Подпрограмма n</t>
  </si>
  <si>
    <t xml:space="preserve">федеральный бюджет    </t>
  </si>
  <si>
    <t xml:space="preserve">федеральный бюджет </t>
  </si>
  <si>
    <t>показатели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</si>
  <si>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</si>
  <si>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</si>
  <si>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</si>
  <si>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</si>
  <si>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</si>
  <si>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Основное мероприятие 1</t>
  </si>
  <si>
    <t>№  п/п</t>
  </si>
  <si>
    <t>Наименование объекта</t>
  </si>
  <si>
    <t>Ед.
измерения</t>
  </si>
  <si>
    <t>Остаток сметной стоимости на 01.01. текущего года</t>
  </si>
  <si>
    <t>План на  201___год</t>
  </si>
  <si>
    <t>Финансирование за январь -          201__г.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</si>
  <si>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</si>
  <si>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</si>
  <si>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</si>
  <si>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</si>
  <si>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</si>
  <si>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</si>
  <si>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</si>
  <si>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</si>
  <si>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</si>
  <si>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по:_________________________________________________________________</t>
  </si>
  <si>
    <t>Наименовние ГРБС</t>
  </si>
  <si>
    <t>в том числе по ГРБС:</t>
  </si>
  <si>
    <t>Статус (муниципальная программа, подпрограмма)</t>
  </si>
  <si>
    <t>муниципальная программа</t>
  </si>
  <si>
    <t>Наименование муниципальной программы, подпрограммы муниципальной программы</t>
  </si>
  <si>
    <t>к Порядку принятия решений о разработке муниципальных программ Шушенского района, их формировании и реализации</t>
  </si>
  <si>
    <t>районный бюджет</t>
  </si>
  <si>
    <t>бюджеты поселений</t>
  </si>
  <si>
    <t>Мощность</t>
  </si>
  <si>
    <t xml:space="preserve">Информация об использовании бюджетных ассигнований районного бюджета и иных средств на реализацию районной муниципальной программы </t>
  </si>
  <si>
    <t>Расшифровка финансирования по объектам капитального строительства, включенным в муниципальную программу</t>
  </si>
  <si>
    <t>Информация о целевых показателях и показателях результативности муниципальной программы Шушенского района</t>
  </si>
  <si>
    <t>(тыс.руб.)</t>
  </si>
  <si>
    <t>Управление образования Шушенского района</t>
  </si>
  <si>
    <t>"Развитие дошкольного, общего и дополнительного образования детей"</t>
  </si>
  <si>
    <t>"Господдержка детей сирот, организация и осуществление деятельности по опеке и попечительству в отношении несовершеннолетних"</t>
  </si>
  <si>
    <t>078</t>
  </si>
  <si>
    <t>1004</t>
  </si>
  <si>
    <t>0127587</t>
  </si>
  <si>
    <t>0125082</t>
  </si>
  <si>
    <t>0709</t>
  </si>
  <si>
    <t>0127552</t>
  </si>
  <si>
    <t>Х</t>
  </si>
  <si>
    <t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Шушенского района (с учетом групп кратковременного пребывания)</t>
  </si>
  <si>
    <t xml:space="preserve">Отношение среднего балла ЕГЭ (в расчете на 1 предмет) в 10 % школ Шушенского района с лучшими результатами ЕГЭ к среднему баллу ЕГЭ (в расчете на 1 предмет) в 10 % школ Шушенского района с худшими результатами ЕГЭ
</t>
  </si>
  <si>
    <t>Доля 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учреждений*</t>
  </si>
  <si>
    <t>%</t>
  </si>
  <si>
    <t>Удельный вес воспитанников дошкольных образовательных организаций, расположенных на территории Шушенского района, 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Шушенского района</t>
  </si>
  <si>
    <t xml:space="preserve">Доля муниципальных образовательных учреждений,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учреждений, реализующих программы общего образования 
</t>
  </si>
  <si>
    <t>Доля выпускников  муниципальных общеобразовательных учреждений, не сдавших единый государственный экзамен, в общей численности выпускников  муниципальных общеобразовательных учреждений</t>
  </si>
  <si>
    <t>Доля обучающихся в  муниципальных общеобразовательных учреждений, занимающихся во вторую (третью) смену, в общей численности обучающихся в муниципальных  общеобразовательных учреждениях</t>
  </si>
  <si>
    <t>Доля детей с ограниченными возможностями здоровья, обучающихся в общеобразовательных организациях, имеющих лицензию и аккредитованных  по программам специальных (коррекционных) образовательных учреждений, от количества детей данной категории, обучающихся в общеобразовательных учреждениях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</si>
  <si>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</si>
  <si>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Охват детей в возрасте 5–18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5–18 лет)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</si>
  <si>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</si>
  <si>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Приложение № 2</t>
  </si>
  <si>
    <t>0701</t>
  </si>
  <si>
    <t>1003</t>
  </si>
  <si>
    <t>0702</t>
  </si>
  <si>
    <t>0707</t>
  </si>
  <si>
    <t>0117582</t>
  </si>
  <si>
    <t>0119201</t>
  </si>
  <si>
    <t>0117585</t>
  </si>
  <si>
    <t>0119202</t>
  </si>
  <si>
    <t>Итого по задаче №1</t>
  </si>
  <si>
    <t>Задача №2 Обеспечить условия и качество обучения, соответствующие федеральным государственным стандапртам начального общего, основного общего, среднего общего образования</t>
  </si>
  <si>
    <t>Итого по задаче №2</t>
  </si>
  <si>
    <t>Задача №3. Обеспечить доступное и качественное дополнительное образование</t>
  </si>
  <si>
    <t>Итого по задаче №3</t>
  </si>
  <si>
    <t>Задача №4 Содействовать выявлению и поддержке одаренных детей</t>
  </si>
  <si>
    <t>Итого по задаче №4</t>
  </si>
  <si>
    <t>Задача №5 Обеспечить безопасный, качественный отдых и оздоровление детей</t>
  </si>
  <si>
    <t>Итого по задаче №5</t>
  </si>
  <si>
    <t>Итого по мероприятию</t>
  </si>
  <si>
    <t>Задача №1 Обеспечить доступность дошкольного образования, соответствующего единому качества дошкольного образования</t>
  </si>
  <si>
    <t>тел.: 3-18-84</t>
  </si>
  <si>
    <t>611</t>
  </si>
  <si>
    <t>612</t>
  </si>
  <si>
    <t>621</t>
  </si>
  <si>
    <t>622</t>
  </si>
  <si>
    <t>412</t>
  </si>
  <si>
    <t>121</t>
  </si>
  <si>
    <t>122</t>
  </si>
  <si>
    <t>244</t>
  </si>
  <si>
    <t>111</t>
  </si>
  <si>
    <t>112</t>
  </si>
  <si>
    <t>851</t>
  </si>
  <si>
    <t>852</t>
  </si>
  <si>
    <t>119</t>
  </si>
  <si>
    <t>0110074080</t>
  </si>
  <si>
    <t>0110074090</t>
  </si>
  <si>
    <t>0110075540</t>
  </si>
  <si>
    <t>0110075560</t>
  </si>
  <si>
    <t>0110075640</t>
  </si>
  <si>
    <t>0110075660</t>
  </si>
  <si>
    <t>0110075880</t>
  </si>
  <si>
    <t>0110090610</t>
  </si>
  <si>
    <t>0110091020</t>
  </si>
  <si>
    <t>0110091030</t>
  </si>
  <si>
    <t>0110091870</t>
  </si>
  <si>
    <t>129</t>
  </si>
  <si>
    <t>0120090610</t>
  </si>
  <si>
    <t>0110091010</t>
  </si>
  <si>
    <t>0110092350</t>
  </si>
  <si>
    <t>01100S5630</t>
  </si>
  <si>
    <t>011007397Г</t>
  </si>
  <si>
    <t>011007397Е</t>
  </si>
  <si>
    <t>01100S397Г</t>
  </si>
  <si>
    <t>01100S397Е</t>
  </si>
  <si>
    <t>0120090210</t>
  </si>
  <si>
    <t>0703</t>
  </si>
  <si>
    <t>011007397Б</t>
  </si>
  <si>
    <t>01100S397Б</t>
  </si>
  <si>
    <t>853</t>
  </si>
  <si>
    <t>0120091870</t>
  </si>
  <si>
    <t>0120090270</t>
  </si>
  <si>
    <t>011007397В</t>
  </si>
  <si>
    <t>01100S397В</t>
  </si>
  <si>
    <t>012009061</t>
  </si>
  <si>
    <t>0110077450</t>
  </si>
  <si>
    <t>0120091010</t>
  </si>
  <si>
    <t>321</t>
  </si>
  <si>
    <t>01100S8400</t>
  </si>
  <si>
    <t>0110076490</t>
  </si>
  <si>
    <t>0110010480</t>
  </si>
  <si>
    <t>01100S3970</t>
  </si>
  <si>
    <t>01100S5530</t>
  </si>
  <si>
    <t>тел.3 76 46</t>
  </si>
  <si>
    <t>"Развитие образования Шушенского района на 2014-2030 годы"</t>
  </si>
  <si>
    <t>Приложение № 7</t>
  </si>
  <si>
    <t>Отчетный период (предшествующий год)</t>
  </si>
  <si>
    <t>Приложение № 8 к Порядку принятия решений о разработке муниципальных программ Шушенского района, их формировании и реализации</t>
  </si>
  <si>
    <t>Информация об использовании бюджетных ассигнованийрайонного бюджета и иных средств на реализацию мероприятий муниципальной программы ( с расшифровкойй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</si>
  <si>
    <t>Приложение № 9</t>
  </si>
  <si>
    <t>Приложение № 10</t>
  </si>
  <si>
    <t>«Обеспечение реализации муниципальной программы и прочие мероприятия»</t>
  </si>
  <si>
    <t>Подпрограмма 2</t>
  </si>
  <si>
    <t>«Развитие Российского движения школьников»</t>
  </si>
  <si>
    <t>Подпрограмма 3</t>
  </si>
  <si>
    <t>Итого по подпрограмме</t>
  </si>
  <si>
    <t>0110010490</t>
  </si>
  <si>
    <t>0110053030</t>
  </si>
  <si>
    <t>01100S5980</t>
  </si>
  <si>
    <t>011Е15160</t>
  </si>
  <si>
    <t>011Е45210</t>
  </si>
  <si>
    <t>0110010360</t>
  </si>
  <si>
    <t>0110097030</t>
  </si>
  <si>
    <t>613</t>
  </si>
  <si>
    <t>623</t>
  </si>
  <si>
    <t>633</t>
  </si>
  <si>
    <t>813</t>
  </si>
  <si>
    <t>0120010360</t>
  </si>
  <si>
    <t>012001036М</t>
  </si>
  <si>
    <t>0120010490</t>
  </si>
  <si>
    <t>0110091650</t>
  </si>
  <si>
    <t>0130092150</t>
  </si>
  <si>
    <t>0130092160</t>
  </si>
  <si>
    <t>0110010350</t>
  </si>
  <si>
    <t>0120010350</t>
  </si>
  <si>
    <t>012001035М</t>
  </si>
  <si>
    <t>01100L3040</t>
  </si>
  <si>
    <t xml:space="preserve">Задача 5 Обеспечить безопасный, качественный отдых и оздоровление детей в летний период </t>
  </si>
  <si>
    <t>Доля оздоровленных детей школьного возраста</t>
  </si>
  <si>
    <t>Цель: реализация государственной политики в области воспитания подрастающего поколения через  развитие Российского движения школьников  в районе.</t>
  </si>
  <si>
    <t xml:space="preserve">Доля обучающихся, ставших  участниками и активистами движения РДШ и Юнармии   </t>
  </si>
  <si>
    <t xml:space="preserve">Созданы в общеобразовательных организациях:
юнармейские отряды  
</t>
  </si>
  <si>
    <t>Задача 1: Организация деятельности  учреждений, обеспечивающих деятельность образовательных организаций.</t>
  </si>
  <si>
    <t>своевременное доведение главным распорядителем лимитов бюджетных обязательств до подведомственных учреждений, предусмотренных законом о бюджете за отчетный год</t>
  </si>
  <si>
    <t>соблюдение сроков предоставления годовой бюджетной отчетности</t>
  </si>
  <si>
    <t>своевременность утверждения муниципальных заданий подведомственных учреждениям на текущий финансовый год и плановый период</t>
  </si>
  <si>
    <t>своевременность утверждения планов финансово-хозяйственной деятельности подведомственных Управлению образования Шушенского района учреждений на текущий финансовый год и плановый период</t>
  </si>
  <si>
    <t>2020 (отчетный период)</t>
  </si>
  <si>
    <t>2022 год</t>
  </si>
  <si>
    <t>2023 год</t>
  </si>
  <si>
    <t>0110092480</t>
  </si>
  <si>
    <t>0110092310</t>
  </si>
  <si>
    <t>247</t>
  </si>
  <si>
    <t>0120092350</t>
  </si>
  <si>
    <t>2020 (отчетный год)</t>
  </si>
  <si>
    <t>2021 год</t>
  </si>
  <si>
    <t xml:space="preserve">Исп: </t>
  </si>
  <si>
    <t>Подпрограмма № 2 «Развитие Российского движения школьников в Шушенском районе»</t>
  </si>
  <si>
    <t>Подпрограмма № 3  «Обеспечение реализации муниципальной программы и прочие мероприятия»</t>
  </si>
  <si>
    <t>009</t>
  </si>
  <si>
    <t>0130092170</t>
  </si>
  <si>
    <t xml:space="preserve">Администрация района </t>
  </si>
  <si>
    <t>Руководитель управления образования</t>
  </si>
  <si>
    <t>В.Ю. Киримов</t>
  </si>
  <si>
    <t>Исполнитель Гуркова Е. В.</t>
  </si>
  <si>
    <t>исполнение за 2021 год составило 99.69%</t>
  </si>
  <si>
    <t>исполнение за 2021 год составило 99,69 %</t>
  </si>
  <si>
    <t>исполнение за 2021 год составило 100 %</t>
  </si>
  <si>
    <t>исполнение за 2021 год составило 99,81 %</t>
  </si>
  <si>
    <t>исполнение за 2021 год составило 68,25 %</t>
  </si>
  <si>
    <t>исполнение за 2021 год составило 67,05 %</t>
  </si>
  <si>
    <t>исполнение за 2021 год составило 90,4 %</t>
  </si>
  <si>
    <t>исполнение за 2021 год составило 99.48%</t>
  </si>
  <si>
    <t>исполнение за 2021 год составило 99,99 %</t>
  </si>
  <si>
    <t>исполнение за 2021 год составило 99,89 %</t>
  </si>
  <si>
    <t>исполнение за 2021 год составило 99,45 %</t>
  </si>
  <si>
    <t>исполнение за 2021 год составило  96,83 %</t>
  </si>
  <si>
    <t>исполнение за 2021 год составило  97,14 %</t>
  </si>
  <si>
    <t>исполнение за 2021 год составило  97,76 %</t>
  </si>
  <si>
    <t>исполнение за 2021 год составило 98,83%</t>
  </si>
  <si>
    <t>исполнение за 2021 год составило  99,96 %</t>
  </si>
  <si>
    <t>исполнение за 2021 год составило 99,01%</t>
  </si>
  <si>
    <t>исполнение за 2021 год составило 99,95 %</t>
  </si>
  <si>
    <t>исполнение за 2021 год составило 91,78 %</t>
  </si>
  <si>
    <t>исполнение за 2021 год составило 98,25 %</t>
  </si>
  <si>
    <t>исполнение за 2021 год составило 98,17 %</t>
  </si>
  <si>
    <t>исполнение за 2021 год составило 98,43 %</t>
  </si>
  <si>
    <t>исполнение за 2021 год составило 99,74 %</t>
  </si>
  <si>
    <t>исполнение за 2021 год составило 99,44 %</t>
  </si>
  <si>
    <t>исполнение за 2021 год составило 99,37 %</t>
  </si>
  <si>
    <t>исполнение за 2021 год составило 99,91 %</t>
  </si>
  <si>
    <t>исполнение за 2021 год составило 98,99 %</t>
  </si>
  <si>
    <t>исполнение за 2021 год составило  49,97 %, не предоставлены документы</t>
  </si>
  <si>
    <t>исполнение за 2021 год составило  50 %  не предоставлены документы</t>
  </si>
  <si>
    <t>исполнение за 2021 год составило 89,84 %  не предоставлены документы</t>
  </si>
  <si>
    <t xml:space="preserve">исполнение за 2021 год составило 91,63 %  не предоставлены документы </t>
  </si>
  <si>
    <t>исполнение за 2021 год составило  67,98 %  не предоставлены документы</t>
  </si>
  <si>
    <t>исполнение за 2021 год составило 85,99 %  не предоставлены документы</t>
  </si>
  <si>
    <t>исполнение за 2021 год составило 35,50 %  не предоставлены документы</t>
  </si>
  <si>
    <t xml:space="preserve">исполнение за 6 мес составило 0%  не предоставлены документы </t>
  </si>
  <si>
    <t xml:space="preserve">исполнение за 2021 год составило 82,33%  не предоставлены документы </t>
  </si>
  <si>
    <t xml:space="preserve">исполнение за 2021 год составило 94,50 %  не предоставлены документы </t>
  </si>
  <si>
    <t>исполнение за 2021 год составило 0 %  не предоставлены документы</t>
  </si>
  <si>
    <t xml:space="preserve">исполнение за 2021 год составило 90,77 %  не предоставлены документы </t>
  </si>
  <si>
    <t>исполнение за 2021 год составило 84,83 %  не предоставлены документы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</si>
</sst>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#,##0.0"/>
    <numFmt numFmtId="177" formatCode="#,##0.000"/>
    <numFmt numFmtId="184" formatCode="0.000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4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/>
    <xf numFmtId="0" fontId="10" fillId="0" borderId="0" xfId="0" applyFont="1" applyAlignment="1">
      <alignment horizontal="center" vertical="center"/>
    </xf>
    <xf numFmtId="0" fontId="7" fillId="0" borderId="1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2" fontId="15" fillId="0" borderId="1" xfId="0" applyNumberFormat="1" applyFont="1" applyFill="1" applyBorder="1" applyAlignment="1">
      <alignment horizontal="center" vertical="center" wrapText="1"/>
    </xf>
    <xf numFmtId="172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Fill="1"/>
    <xf numFmtId="177" fontId="16" fillId="0" borderId="1" xfId="0" applyNumberFormat="1" applyFont="1" applyFill="1" applyBorder="1" applyAlignment="1">
      <alignment horizontal="center"/>
    </xf>
    <xf numFmtId="177" fontId="11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49" fontId="11" fillId="0" borderId="1" xfId="0" applyNumberFormat="1" applyFont="1" applyFill="1" applyBorder="1" applyAlignment="1">
      <alignment horizontal="center"/>
    </xf>
    <xf numFmtId="177" fontId="11" fillId="0" borderId="1" xfId="0" applyNumberFormat="1" applyFont="1" applyFill="1" applyBorder="1" applyAlignment="1">
      <alignment wrapText="1"/>
    </xf>
    <xf numFmtId="177" fontId="16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11" fillId="0" borderId="0" xfId="0" applyFont="1" applyFill="1"/>
    <xf numFmtId="0" fontId="6" fillId="0" borderId="0" xfId="0" applyFont="1" applyFill="1" applyAlignment="1">
      <alignment horizontal="left" wrapText="1"/>
    </xf>
    <xf numFmtId="0" fontId="0" fillId="0" borderId="0" xfId="0" applyFill="1" applyAlignment="1">
      <alignment horizontal="right"/>
    </xf>
    <xf numFmtId="49" fontId="11" fillId="0" borderId="1" xfId="0" applyNumberFormat="1" applyFont="1" applyFill="1" applyBorder="1" applyAlignment="1"/>
    <xf numFmtId="0" fontId="16" fillId="0" borderId="1" xfId="0" applyFont="1" applyFill="1" applyBorder="1"/>
    <xf numFmtId="0" fontId="16" fillId="0" borderId="0" xfId="0" applyFont="1" applyFill="1"/>
    <xf numFmtId="0" fontId="16" fillId="0" borderId="1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horizontal="center"/>
    </xf>
    <xf numFmtId="2" fontId="11" fillId="0" borderId="0" xfId="0" applyNumberFormat="1" applyFont="1" applyFill="1"/>
    <xf numFmtId="49" fontId="16" fillId="0" borderId="1" xfId="0" applyNumberFormat="1" applyFont="1" applyFill="1" applyBorder="1" applyAlignment="1"/>
    <xf numFmtId="0" fontId="6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77" fontId="11" fillId="0" borderId="1" xfId="0" applyNumberFormat="1" applyFont="1" applyFill="1" applyBorder="1"/>
    <xf numFmtId="177" fontId="0" fillId="0" borderId="1" xfId="0" applyNumberFormat="1" applyFill="1" applyBorder="1"/>
    <xf numFmtId="184" fontId="0" fillId="0" borderId="0" xfId="0" applyNumberFormat="1" applyFill="1"/>
    <xf numFmtId="4" fontId="11" fillId="0" borderId="1" xfId="0" applyNumberFormat="1" applyFont="1" applyFill="1" applyBorder="1" applyAlignment="1">
      <alignment wrapText="1"/>
    </xf>
    <xf numFmtId="4" fontId="11" fillId="0" borderId="1" xfId="0" applyNumberFormat="1" applyFont="1" applyFill="1" applyBorder="1"/>
    <xf numFmtId="4" fontId="11" fillId="0" borderId="0" xfId="0" applyNumberFormat="1" applyFont="1" applyFill="1" applyBorder="1"/>
    <xf numFmtId="0" fontId="0" fillId="0" borderId="0" xfId="0" applyFill="1" applyBorder="1"/>
    <xf numFmtId="0" fontId="3" fillId="0" borderId="0" xfId="0" applyFont="1" applyFill="1" applyBorder="1"/>
    <xf numFmtId="0" fontId="4" fillId="0" borderId="0" xfId="0" applyFont="1" applyFill="1" applyBorder="1"/>
    <xf numFmtId="177" fontId="0" fillId="0" borderId="0" xfId="0" applyNumberFormat="1" applyFill="1"/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2" fontId="0" fillId="0" borderId="0" xfId="0" applyNumberFormat="1" applyFill="1"/>
    <xf numFmtId="177" fontId="11" fillId="0" borderId="1" xfId="0" applyNumberFormat="1" applyFont="1" applyFill="1" applyBorder="1" applyAlignment="1">
      <alignment horizontal="center" wrapText="1"/>
    </xf>
    <xf numFmtId="0" fontId="11" fillId="0" borderId="0" xfId="0" applyFont="1" applyFill="1" applyBorder="1"/>
    <xf numFmtId="0" fontId="6" fillId="0" borderId="0" xfId="0" applyFont="1" applyFill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wrapText="1"/>
    </xf>
    <xf numFmtId="177" fontId="2" fillId="0" borderId="0" xfId="0" applyNumberFormat="1" applyFont="1" applyFill="1" applyBorder="1"/>
    <xf numFmtId="177" fontId="0" fillId="0" borderId="0" xfId="0" applyNumberFormat="1" applyFill="1" applyBorder="1"/>
    <xf numFmtId="0" fontId="2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7" xfId="0" applyFont="1" applyBorder="1" applyAlignment="1">
      <alignment wrapText="1"/>
    </xf>
    <xf numFmtId="0" fontId="2" fillId="0" borderId="1" xfId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77" fontId="11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/>
    <xf numFmtId="0" fontId="2" fillId="0" borderId="1" xfId="1" applyFont="1" applyFill="1" applyBorder="1" applyAlignment="1">
      <alignment vertical="center" wrapText="1"/>
    </xf>
    <xf numFmtId="0" fontId="18" fillId="0" borderId="1" xfId="0" applyFont="1" applyFill="1" applyBorder="1" applyAlignment="1">
      <alignment wrapText="1"/>
    </xf>
    <xf numFmtId="0" fontId="17" fillId="0" borderId="0" xfId="1" applyFont="1" applyFill="1" applyBorder="1" applyAlignment="1">
      <alignment vertical="center"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left" wrapText="1"/>
    </xf>
    <xf numFmtId="0" fontId="11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8" fillId="0" borderId="1" xfId="0" applyFont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2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13" xfId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/>
    </xf>
    <xf numFmtId="0" fontId="11" fillId="0" borderId="17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18" xfId="0" applyFont="1" applyFill="1" applyBorder="1" applyAlignment="1">
      <alignment horizontal="center" vertical="top" wrapText="1"/>
    </xf>
    <xf numFmtId="0" fontId="11" fillId="0" borderId="17" xfId="0" applyFont="1" applyFill="1" applyBorder="1" applyAlignment="1">
      <alignment horizontal="left" vertical="top" wrapText="1"/>
    </xf>
    <xf numFmtId="0" fontId="11" fillId="0" borderId="18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6" fillId="0" borderId="12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13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172" fontId="2" fillId="0" borderId="1" xfId="0" applyNumberFormat="1" applyFont="1" applyFill="1" applyBorder="1" applyAlignment="1">
      <alignment horizontal="center" vertical="center" wrapText="1"/>
    </xf>
    <xf numFmtId="172" fontId="1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view="pageBreakPreview" zoomScaleNormal="100" zoomScaleSheetLayoutView="100" workbookViewId="0">
      <selection activeCell="D2" sqref="D2"/>
    </sheetView>
  </sheetViews>
  <sheetFormatPr defaultRowHeight="18.75" customHeight="1" x14ac:dyDescent="0.2"/>
  <cols>
    <col min="1" max="1" width="4" style="2" customWidth="1"/>
    <col min="2" max="2" width="33.28515625" style="27" customWidth="1"/>
    <col min="3" max="3" width="5.85546875" style="27" customWidth="1"/>
    <col min="4" max="4" width="8.5703125" style="27" customWidth="1"/>
    <col min="5" max="5" width="9" style="27" customWidth="1"/>
    <col min="6" max="9" width="6.28515625" style="27" customWidth="1"/>
    <col min="10" max="11" width="6.28515625" style="2" customWidth="1"/>
    <col min="12" max="12" width="17.42578125" style="2" customWidth="1"/>
    <col min="13" max="16384" width="9.140625" style="2"/>
  </cols>
  <sheetData>
    <row r="1" spans="1:12" ht="18.75" customHeight="1" x14ac:dyDescent="0.25">
      <c r="J1" s="108" t="s">
        <v>173</v>
      </c>
      <c r="K1" s="108"/>
      <c r="L1" s="108"/>
    </row>
    <row r="2" spans="1:12" ht="71.25" customHeight="1" x14ac:dyDescent="0.25">
      <c r="J2" s="109" t="s">
        <v>69</v>
      </c>
      <c r="K2" s="109"/>
      <c r="L2" s="109"/>
    </row>
    <row r="3" spans="1:12" ht="18.75" customHeight="1" x14ac:dyDescent="0.25">
      <c r="J3" s="17"/>
      <c r="K3" s="17"/>
      <c r="L3" s="17"/>
    </row>
    <row r="4" spans="1:12" ht="39.75" customHeight="1" x14ac:dyDescent="0.25">
      <c r="B4" s="90" t="s">
        <v>75</v>
      </c>
      <c r="C4" s="90"/>
      <c r="D4" s="90"/>
      <c r="E4" s="90"/>
      <c r="F4" s="90"/>
      <c r="G4" s="90"/>
      <c r="H4" s="90"/>
      <c r="I4" s="90"/>
      <c r="J4" s="90"/>
      <c r="K4" s="90"/>
      <c r="L4" s="90"/>
    </row>
    <row r="5" spans="1:12" ht="18.75" customHeight="1" thickBot="1" x14ac:dyDescent="0.25"/>
    <row r="6" spans="1:12" s="1" customFormat="1" ht="42" customHeight="1" x14ac:dyDescent="0.2">
      <c r="A6" s="97" t="s">
        <v>0</v>
      </c>
      <c r="B6" s="101" t="s">
        <v>1</v>
      </c>
      <c r="C6" s="105" t="s">
        <v>17</v>
      </c>
      <c r="D6" s="104" t="s">
        <v>174</v>
      </c>
      <c r="E6" s="104"/>
      <c r="F6" s="104" t="s">
        <v>223</v>
      </c>
      <c r="G6" s="104"/>
      <c r="H6" s="104"/>
      <c r="I6" s="104"/>
      <c r="J6" s="96" t="s">
        <v>2</v>
      </c>
      <c r="K6" s="96"/>
      <c r="L6" s="110" t="s">
        <v>7</v>
      </c>
    </row>
    <row r="7" spans="1:12" s="1" customFormat="1" ht="28.5" customHeight="1" x14ac:dyDescent="0.2">
      <c r="A7" s="98"/>
      <c r="B7" s="102"/>
      <c r="C7" s="106"/>
      <c r="D7" s="100">
        <v>2020</v>
      </c>
      <c r="E7" s="100"/>
      <c r="F7" s="114" t="s">
        <v>18</v>
      </c>
      <c r="G7" s="115"/>
      <c r="H7" s="100" t="s">
        <v>19</v>
      </c>
      <c r="I7" s="100"/>
      <c r="J7" s="116" t="s">
        <v>5</v>
      </c>
      <c r="K7" s="116" t="s">
        <v>6</v>
      </c>
      <c r="L7" s="111"/>
    </row>
    <row r="8" spans="1:12" s="1" customFormat="1" ht="18.75" customHeight="1" thickBot="1" x14ac:dyDescent="0.25">
      <c r="A8" s="99"/>
      <c r="B8" s="103"/>
      <c r="C8" s="107"/>
      <c r="D8" s="59" t="s">
        <v>3</v>
      </c>
      <c r="E8" s="59" t="s">
        <v>4</v>
      </c>
      <c r="F8" s="59" t="s">
        <v>3</v>
      </c>
      <c r="G8" s="59" t="s">
        <v>4</v>
      </c>
      <c r="H8" s="59" t="s">
        <v>3</v>
      </c>
      <c r="I8" s="59" t="s">
        <v>4</v>
      </c>
      <c r="J8" s="117"/>
      <c r="K8" s="117"/>
      <c r="L8" s="112"/>
    </row>
    <row r="9" spans="1:12" ht="18.75" customHeight="1" x14ac:dyDescent="0.2">
      <c r="A9" s="5"/>
      <c r="B9" s="60" t="s">
        <v>8</v>
      </c>
      <c r="C9" s="60"/>
      <c r="D9" s="60"/>
      <c r="E9" s="60"/>
      <c r="F9" s="60"/>
      <c r="G9" s="60"/>
      <c r="H9" s="60"/>
      <c r="I9" s="60"/>
      <c r="J9" s="6"/>
      <c r="K9" s="6"/>
      <c r="L9" s="7"/>
    </row>
    <row r="10" spans="1:12" ht="18.75" customHeight="1" x14ac:dyDescent="0.2">
      <c r="A10" s="5"/>
      <c r="B10" s="60" t="s">
        <v>15</v>
      </c>
      <c r="C10" s="60"/>
      <c r="D10" s="60"/>
      <c r="E10" s="60"/>
      <c r="F10" s="60"/>
      <c r="G10" s="60"/>
      <c r="H10" s="60"/>
      <c r="I10" s="60"/>
      <c r="J10" s="6"/>
      <c r="K10" s="6"/>
      <c r="L10" s="7"/>
    </row>
    <row r="11" spans="1:12" ht="113.25" customHeight="1" x14ac:dyDescent="0.2">
      <c r="A11" s="5"/>
      <c r="B11" s="46" t="s">
        <v>87</v>
      </c>
      <c r="C11" s="75" t="s">
        <v>90</v>
      </c>
      <c r="D11" s="76">
        <v>100</v>
      </c>
      <c r="E11" s="76">
        <v>100</v>
      </c>
      <c r="F11" s="76">
        <v>100</v>
      </c>
      <c r="G11" s="76">
        <v>100</v>
      </c>
      <c r="H11" s="76">
        <v>100</v>
      </c>
      <c r="I11" s="76">
        <v>100</v>
      </c>
      <c r="J11" s="76">
        <v>100</v>
      </c>
      <c r="K11" s="76">
        <v>100</v>
      </c>
      <c r="L11" s="7"/>
    </row>
    <row r="12" spans="1:12" ht="94.5" customHeight="1" x14ac:dyDescent="0.2">
      <c r="A12" s="5"/>
      <c r="B12" s="84" t="s">
        <v>88</v>
      </c>
      <c r="C12" s="77" t="s">
        <v>90</v>
      </c>
      <c r="D12" s="76">
        <v>1.27</v>
      </c>
      <c r="E12" s="76">
        <v>1.27</v>
      </c>
      <c r="F12" s="76">
        <v>1.27</v>
      </c>
      <c r="G12" s="76">
        <v>1.27</v>
      </c>
      <c r="H12" s="76">
        <v>1.27</v>
      </c>
      <c r="I12" s="76">
        <v>1.59</v>
      </c>
      <c r="J12" s="76">
        <v>1.27</v>
      </c>
      <c r="K12" s="76">
        <v>1.27</v>
      </c>
      <c r="L12" s="7"/>
    </row>
    <row r="13" spans="1:12" ht="72" customHeight="1" x14ac:dyDescent="0.2">
      <c r="A13" s="5"/>
      <c r="B13" s="46" t="s">
        <v>89</v>
      </c>
      <c r="C13" s="75" t="s">
        <v>90</v>
      </c>
      <c r="D13" s="76">
        <v>85.7</v>
      </c>
      <c r="E13" s="76">
        <v>85.7</v>
      </c>
      <c r="F13" s="76">
        <v>85.7</v>
      </c>
      <c r="G13" s="76">
        <v>85.7</v>
      </c>
      <c r="H13" s="76">
        <v>85.7</v>
      </c>
      <c r="I13" s="76">
        <v>86</v>
      </c>
      <c r="J13" s="76">
        <v>85.7</v>
      </c>
      <c r="K13" s="76">
        <v>85.7</v>
      </c>
      <c r="L13" s="7"/>
    </row>
    <row r="14" spans="1:12" ht="18.75" customHeight="1" x14ac:dyDescent="0.2">
      <c r="A14" s="5"/>
      <c r="B14" s="60" t="s">
        <v>16</v>
      </c>
      <c r="C14" s="60"/>
      <c r="D14" s="76"/>
      <c r="E14" s="76"/>
      <c r="F14" s="76"/>
      <c r="G14" s="76"/>
      <c r="H14" s="76"/>
      <c r="I14" s="76"/>
      <c r="J14" s="76"/>
      <c r="K14" s="76"/>
      <c r="L14" s="7"/>
    </row>
    <row r="15" spans="1:12" ht="18.75" customHeight="1" x14ac:dyDescent="0.2">
      <c r="A15" s="4"/>
      <c r="B15" s="81" t="s">
        <v>9</v>
      </c>
      <c r="C15" s="81"/>
      <c r="D15" s="78"/>
      <c r="E15" s="78"/>
      <c r="F15" s="78"/>
      <c r="G15" s="78"/>
      <c r="H15" s="78"/>
      <c r="I15" s="78"/>
      <c r="J15" s="78"/>
      <c r="K15" s="78"/>
      <c r="L15" s="79"/>
    </row>
    <row r="16" spans="1:12" ht="18.75" customHeight="1" x14ac:dyDescent="0.2">
      <c r="A16" s="4"/>
      <c r="B16" s="81" t="s">
        <v>33</v>
      </c>
      <c r="C16" s="81"/>
      <c r="D16" s="78"/>
      <c r="E16" s="78"/>
      <c r="F16" s="78"/>
      <c r="G16" s="78"/>
      <c r="H16" s="78"/>
      <c r="I16" s="78"/>
      <c r="J16" s="78"/>
      <c r="K16" s="78"/>
      <c r="L16" s="79"/>
    </row>
    <row r="17" spans="1:12" ht="18.75" customHeight="1" x14ac:dyDescent="0.2">
      <c r="A17" s="4"/>
      <c r="B17" s="81" t="s">
        <v>41</v>
      </c>
      <c r="C17" s="81"/>
      <c r="D17" s="78"/>
      <c r="E17" s="78"/>
      <c r="F17" s="78"/>
      <c r="G17" s="78"/>
      <c r="H17" s="78"/>
      <c r="I17" s="78"/>
      <c r="J17" s="78"/>
      <c r="K17" s="78"/>
      <c r="L17" s="79"/>
    </row>
    <row r="18" spans="1:12" ht="115.5" customHeight="1" x14ac:dyDescent="0.2">
      <c r="A18" s="4"/>
      <c r="B18" s="46" t="s">
        <v>91</v>
      </c>
      <c r="C18" s="75" t="s">
        <v>90</v>
      </c>
      <c r="D18" s="78">
        <v>100</v>
      </c>
      <c r="E18" s="78">
        <v>100</v>
      </c>
      <c r="F18" s="78">
        <v>100</v>
      </c>
      <c r="G18" s="78">
        <v>100</v>
      </c>
      <c r="H18" s="78">
        <v>100</v>
      </c>
      <c r="I18" s="78">
        <v>100</v>
      </c>
      <c r="J18" s="78">
        <v>100</v>
      </c>
      <c r="K18" s="78">
        <v>100</v>
      </c>
      <c r="L18" s="79"/>
    </row>
    <row r="19" spans="1:12" ht="18.75" customHeight="1" x14ac:dyDescent="0.2">
      <c r="A19" s="4"/>
      <c r="B19" s="81" t="s">
        <v>34</v>
      </c>
      <c r="C19" s="81"/>
      <c r="D19" s="78"/>
      <c r="E19" s="78"/>
      <c r="F19" s="78"/>
      <c r="G19" s="78"/>
      <c r="H19" s="78"/>
      <c r="I19" s="78"/>
      <c r="J19" s="78"/>
      <c r="K19" s="78"/>
      <c r="L19" s="79"/>
    </row>
    <row r="20" spans="1:12" ht="18.75" customHeight="1" x14ac:dyDescent="0.2">
      <c r="A20" s="4"/>
      <c r="B20" s="81" t="s">
        <v>41</v>
      </c>
      <c r="C20" s="81"/>
      <c r="D20" s="78"/>
      <c r="E20" s="78"/>
      <c r="F20" s="78"/>
      <c r="G20" s="78"/>
      <c r="H20" s="78"/>
      <c r="I20" s="78"/>
      <c r="J20" s="78"/>
      <c r="K20" s="78"/>
      <c r="L20" s="79"/>
    </row>
    <row r="21" spans="1:12" ht="91.5" customHeight="1" x14ac:dyDescent="0.2">
      <c r="A21" s="4"/>
      <c r="B21" s="46" t="s">
        <v>92</v>
      </c>
      <c r="C21" s="77" t="s">
        <v>90</v>
      </c>
      <c r="D21" s="78">
        <v>42.8</v>
      </c>
      <c r="E21" s="78">
        <v>42.8</v>
      </c>
      <c r="F21" s="78">
        <v>42.8</v>
      </c>
      <c r="G21" s="78">
        <v>42.8</v>
      </c>
      <c r="H21" s="78">
        <v>42.8</v>
      </c>
      <c r="I21" s="78">
        <v>0</v>
      </c>
      <c r="J21" s="78">
        <v>42.8</v>
      </c>
      <c r="K21" s="78">
        <v>42.8</v>
      </c>
      <c r="L21" s="79"/>
    </row>
    <row r="22" spans="1:12" ht="82.5" customHeight="1" x14ac:dyDescent="0.2">
      <c r="A22" s="4"/>
      <c r="B22" s="46" t="s">
        <v>93</v>
      </c>
      <c r="C22" s="75" t="s">
        <v>90</v>
      </c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1</v>
      </c>
      <c r="J22" s="78">
        <v>0</v>
      </c>
      <c r="K22" s="78">
        <v>0</v>
      </c>
      <c r="L22" s="79"/>
    </row>
    <row r="23" spans="1:12" ht="82.5" customHeight="1" x14ac:dyDescent="0.2">
      <c r="A23" s="4"/>
      <c r="B23" s="46" t="s">
        <v>94</v>
      </c>
      <c r="C23" s="77" t="s">
        <v>90</v>
      </c>
      <c r="D23" s="78">
        <v>0</v>
      </c>
      <c r="E23" s="78">
        <v>0</v>
      </c>
      <c r="F23" s="78">
        <v>0</v>
      </c>
      <c r="G23" s="78">
        <v>0</v>
      </c>
      <c r="H23" s="78">
        <v>0</v>
      </c>
      <c r="I23" s="78">
        <v>0</v>
      </c>
      <c r="J23" s="78">
        <v>0</v>
      </c>
      <c r="K23" s="78">
        <v>0</v>
      </c>
      <c r="L23" s="79"/>
    </row>
    <row r="24" spans="1:12" ht="98.25" customHeight="1" x14ac:dyDescent="0.2">
      <c r="A24" s="4"/>
      <c r="B24" s="46" t="s">
        <v>95</v>
      </c>
      <c r="C24" s="80" t="s">
        <v>90</v>
      </c>
      <c r="D24" s="78">
        <v>100</v>
      </c>
      <c r="E24" s="78">
        <v>100</v>
      </c>
      <c r="F24" s="78">
        <v>100</v>
      </c>
      <c r="G24" s="78">
        <v>100</v>
      </c>
      <c r="H24" s="78">
        <v>100</v>
      </c>
      <c r="I24" s="78">
        <v>100</v>
      </c>
      <c r="J24" s="78">
        <v>100</v>
      </c>
      <c r="K24" s="78">
        <v>100</v>
      </c>
      <c r="L24" s="79"/>
    </row>
    <row r="25" spans="1:12" ht="120" customHeight="1" x14ac:dyDescent="0.2">
      <c r="A25" s="4"/>
      <c r="B25" s="46" t="s">
        <v>96</v>
      </c>
      <c r="C25" s="80" t="s">
        <v>90</v>
      </c>
      <c r="D25" s="78">
        <v>78</v>
      </c>
      <c r="E25" s="78">
        <v>78</v>
      </c>
      <c r="F25" s="78">
        <v>78</v>
      </c>
      <c r="G25" s="78">
        <v>78</v>
      </c>
      <c r="H25" s="78">
        <v>78</v>
      </c>
      <c r="I25" s="78">
        <v>88.3</v>
      </c>
      <c r="J25" s="78">
        <v>78</v>
      </c>
      <c r="K25" s="78">
        <v>78</v>
      </c>
      <c r="L25" s="79"/>
    </row>
    <row r="26" spans="1:12" ht="18.75" customHeight="1" x14ac:dyDescent="0.2">
      <c r="A26" s="4"/>
      <c r="B26" s="81" t="s">
        <v>11</v>
      </c>
      <c r="C26" s="81"/>
      <c r="D26" s="78"/>
      <c r="E26" s="78"/>
      <c r="F26" s="78"/>
      <c r="G26" s="78"/>
      <c r="H26" s="78"/>
      <c r="I26" s="78"/>
      <c r="J26" s="78"/>
      <c r="K26" s="78"/>
      <c r="L26" s="79"/>
    </row>
    <row r="27" spans="1:12" ht="18.75" customHeight="1" x14ac:dyDescent="0.2">
      <c r="A27" s="4"/>
      <c r="B27" s="81" t="s">
        <v>35</v>
      </c>
      <c r="C27" s="81"/>
      <c r="D27" s="78"/>
      <c r="E27" s="78"/>
      <c r="F27" s="78"/>
      <c r="G27" s="78"/>
      <c r="H27" s="78"/>
      <c r="I27" s="78"/>
      <c r="J27" s="78"/>
      <c r="K27" s="78"/>
      <c r="L27" s="79"/>
    </row>
    <row r="28" spans="1:12" ht="18.75" customHeight="1" x14ac:dyDescent="0.2">
      <c r="A28" s="4"/>
      <c r="B28" s="81" t="s">
        <v>41</v>
      </c>
      <c r="C28" s="81"/>
      <c r="D28" s="78"/>
      <c r="E28" s="78"/>
      <c r="F28" s="78"/>
      <c r="G28" s="78"/>
      <c r="H28" s="78"/>
      <c r="I28" s="78"/>
      <c r="J28" s="78"/>
      <c r="K28" s="78"/>
      <c r="L28" s="79"/>
    </row>
    <row r="29" spans="1:12" ht="47.25" customHeight="1" x14ac:dyDescent="0.2">
      <c r="A29" s="4"/>
      <c r="B29" s="84" t="s">
        <v>97</v>
      </c>
      <c r="C29" s="75" t="s">
        <v>90</v>
      </c>
      <c r="D29" s="78">
        <v>70.599999999999994</v>
      </c>
      <c r="E29" s="78">
        <v>70.599999999999994</v>
      </c>
      <c r="F29" s="78">
        <v>70.599999999999994</v>
      </c>
      <c r="G29" s="78">
        <v>70.599999999999994</v>
      </c>
      <c r="H29" s="78">
        <v>70.599999999999994</v>
      </c>
      <c r="I29" s="78">
        <v>70.599999999999994</v>
      </c>
      <c r="J29" s="78">
        <v>70.599999999999994</v>
      </c>
      <c r="K29" s="78">
        <v>70.599999999999994</v>
      </c>
      <c r="L29" s="79"/>
    </row>
    <row r="30" spans="1:12" ht="18.75" customHeight="1" x14ac:dyDescent="0.2">
      <c r="A30" s="4"/>
      <c r="B30" s="81" t="s">
        <v>36</v>
      </c>
      <c r="C30" s="81"/>
      <c r="D30" s="78"/>
      <c r="E30" s="78"/>
      <c r="F30" s="78"/>
      <c r="G30" s="78"/>
      <c r="H30" s="78"/>
      <c r="I30" s="78"/>
      <c r="J30" s="78"/>
      <c r="K30" s="78"/>
      <c r="L30" s="79"/>
    </row>
    <row r="31" spans="1:12" ht="18.75" customHeight="1" x14ac:dyDescent="0.2">
      <c r="A31" s="4"/>
      <c r="B31" s="81" t="s">
        <v>41</v>
      </c>
      <c r="C31" s="81"/>
      <c r="D31" s="78"/>
      <c r="E31" s="78"/>
      <c r="F31" s="78"/>
      <c r="G31" s="78"/>
      <c r="H31" s="78"/>
      <c r="I31" s="78"/>
      <c r="J31" s="78"/>
      <c r="K31" s="78"/>
      <c r="L31" s="79"/>
    </row>
    <row r="32" spans="1:12" ht="80.25" customHeight="1" x14ac:dyDescent="0.2">
      <c r="A32" s="4"/>
      <c r="B32" s="84" t="s">
        <v>98</v>
      </c>
      <c r="C32" s="75" t="s">
        <v>90</v>
      </c>
      <c r="D32" s="78">
        <v>82.5</v>
      </c>
      <c r="E32" s="78">
        <v>82.5</v>
      </c>
      <c r="F32" s="78">
        <v>82.5</v>
      </c>
      <c r="G32" s="78">
        <v>82.5</v>
      </c>
      <c r="H32" s="78">
        <v>82.5</v>
      </c>
      <c r="I32" s="78">
        <v>83</v>
      </c>
      <c r="J32" s="78">
        <v>82.5</v>
      </c>
      <c r="K32" s="78">
        <v>82.5</v>
      </c>
      <c r="L32" s="79"/>
    </row>
    <row r="33" spans="1:12" ht="26.25" customHeight="1" x14ac:dyDescent="0.2">
      <c r="A33" s="71"/>
      <c r="B33" s="118" t="s">
        <v>205</v>
      </c>
      <c r="C33" s="118"/>
      <c r="D33" s="118"/>
      <c r="E33" s="118"/>
      <c r="F33" s="118"/>
      <c r="G33" s="118"/>
      <c r="H33" s="118"/>
      <c r="I33" s="118"/>
      <c r="J33" s="118"/>
      <c r="K33" s="118"/>
      <c r="L33" s="3"/>
    </row>
    <row r="34" spans="1:12" ht="38.25" customHeight="1" x14ac:dyDescent="0.2">
      <c r="A34" s="71"/>
      <c r="B34" s="85" t="s">
        <v>206</v>
      </c>
      <c r="C34" s="75" t="s">
        <v>90</v>
      </c>
      <c r="D34" s="78">
        <v>91</v>
      </c>
      <c r="E34" s="78">
        <v>91</v>
      </c>
      <c r="F34" s="78">
        <v>91</v>
      </c>
      <c r="G34" s="78">
        <v>91</v>
      </c>
      <c r="H34" s="78">
        <v>91</v>
      </c>
      <c r="I34" s="78">
        <v>91</v>
      </c>
      <c r="J34" s="78">
        <v>91</v>
      </c>
      <c r="K34" s="78">
        <v>91</v>
      </c>
      <c r="L34" s="3"/>
    </row>
    <row r="35" spans="1:12" ht="21" customHeight="1" x14ac:dyDescent="0.2">
      <c r="A35" s="71"/>
      <c r="B35" s="91" t="s">
        <v>225</v>
      </c>
      <c r="C35" s="91"/>
      <c r="D35" s="91"/>
      <c r="E35" s="91"/>
      <c r="F35" s="91"/>
      <c r="G35" s="91"/>
      <c r="H35" s="91"/>
      <c r="I35" s="91"/>
      <c r="J35" s="91"/>
      <c r="K35" s="91"/>
      <c r="L35" s="3"/>
    </row>
    <row r="36" spans="1:12" ht="38.25" customHeight="1" x14ac:dyDescent="0.2">
      <c r="A36" s="71"/>
      <c r="B36" s="91" t="s">
        <v>207</v>
      </c>
      <c r="C36" s="91"/>
      <c r="D36" s="91"/>
      <c r="E36" s="91"/>
      <c r="F36" s="91"/>
      <c r="G36" s="91"/>
      <c r="H36" s="91"/>
      <c r="I36" s="91"/>
      <c r="J36" s="91"/>
      <c r="K36" s="91"/>
      <c r="L36" s="3"/>
    </row>
    <row r="37" spans="1:12" ht="38.25" customHeight="1" x14ac:dyDescent="0.2">
      <c r="A37" s="71"/>
      <c r="B37" s="84" t="s">
        <v>208</v>
      </c>
      <c r="C37" s="75" t="s">
        <v>90</v>
      </c>
      <c r="D37" s="78">
        <v>25</v>
      </c>
      <c r="E37" s="78">
        <v>25</v>
      </c>
      <c r="F37" s="78">
        <v>30</v>
      </c>
      <c r="G37" s="78">
        <v>25</v>
      </c>
      <c r="H37" s="78">
        <v>30</v>
      </c>
      <c r="I37" s="78">
        <v>30</v>
      </c>
      <c r="J37" s="78">
        <v>35</v>
      </c>
      <c r="K37" s="78">
        <v>35</v>
      </c>
      <c r="L37" s="78"/>
    </row>
    <row r="38" spans="1:12" ht="38.25" customHeight="1" x14ac:dyDescent="0.2">
      <c r="A38" s="71"/>
      <c r="B38" s="84" t="s">
        <v>209</v>
      </c>
      <c r="C38" s="75" t="s">
        <v>90</v>
      </c>
      <c r="D38" s="81">
        <v>10</v>
      </c>
      <c r="E38" s="81">
        <v>10</v>
      </c>
      <c r="F38" s="81">
        <v>13</v>
      </c>
      <c r="G38" s="81">
        <v>10</v>
      </c>
      <c r="H38" s="81">
        <v>13</v>
      </c>
      <c r="I38" s="81">
        <v>13</v>
      </c>
      <c r="J38" s="81">
        <v>14</v>
      </c>
      <c r="K38" s="81">
        <v>14</v>
      </c>
      <c r="L38" s="3"/>
    </row>
    <row r="39" spans="1:12" ht="38.25" customHeight="1" x14ac:dyDescent="0.2">
      <c r="A39" s="71"/>
      <c r="B39" s="84" t="s">
        <v>209</v>
      </c>
      <c r="C39" s="75" t="s">
        <v>90</v>
      </c>
      <c r="D39" s="81">
        <v>2</v>
      </c>
      <c r="E39" s="81">
        <v>2</v>
      </c>
      <c r="F39" s="81">
        <v>3</v>
      </c>
      <c r="G39" s="81">
        <v>2</v>
      </c>
      <c r="H39" s="81">
        <v>3</v>
      </c>
      <c r="I39" s="81">
        <v>3</v>
      </c>
      <c r="J39" s="81">
        <v>4</v>
      </c>
      <c r="K39" s="81">
        <v>4</v>
      </c>
      <c r="L39" s="3"/>
    </row>
    <row r="40" spans="1:12" ht="12" x14ac:dyDescent="0.2">
      <c r="A40" s="71"/>
      <c r="B40" s="92" t="s">
        <v>226</v>
      </c>
      <c r="C40" s="92"/>
      <c r="D40" s="92"/>
      <c r="E40" s="92"/>
      <c r="F40" s="92"/>
      <c r="G40" s="92"/>
      <c r="H40" s="92"/>
      <c r="I40" s="92"/>
      <c r="J40" s="92"/>
      <c r="K40" s="92"/>
      <c r="L40" s="3"/>
    </row>
    <row r="41" spans="1:12" ht="12" x14ac:dyDescent="0.2">
      <c r="A41" s="71"/>
      <c r="B41" s="93" t="s">
        <v>210</v>
      </c>
      <c r="C41" s="94"/>
      <c r="D41" s="94"/>
      <c r="E41" s="94"/>
      <c r="F41" s="94"/>
      <c r="G41" s="94"/>
      <c r="H41" s="94"/>
      <c r="I41" s="94"/>
      <c r="J41" s="94"/>
      <c r="K41" s="95"/>
      <c r="L41" s="3"/>
    </row>
    <row r="42" spans="1:12" ht="65.25" customHeight="1" x14ac:dyDescent="0.2">
      <c r="A42" s="71"/>
      <c r="B42" s="84" t="s">
        <v>211</v>
      </c>
      <c r="C42" s="75" t="s">
        <v>90</v>
      </c>
      <c r="D42" s="81">
        <v>100</v>
      </c>
      <c r="E42" s="81">
        <v>100</v>
      </c>
      <c r="F42" s="81">
        <v>100</v>
      </c>
      <c r="G42" s="81">
        <v>100</v>
      </c>
      <c r="H42" s="81">
        <v>100</v>
      </c>
      <c r="I42" s="81">
        <v>100</v>
      </c>
      <c r="J42" s="81">
        <v>100</v>
      </c>
      <c r="K42" s="81">
        <v>100</v>
      </c>
      <c r="L42" s="3"/>
    </row>
    <row r="43" spans="1:12" ht="38.25" customHeight="1" x14ac:dyDescent="0.2">
      <c r="A43" s="71"/>
      <c r="B43" s="84" t="s">
        <v>212</v>
      </c>
      <c r="C43" s="75" t="s">
        <v>90</v>
      </c>
      <c r="D43" s="81">
        <v>100</v>
      </c>
      <c r="E43" s="81">
        <v>100</v>
      </c>
      <c r="F43" s="81">
        <v>100</v>
      </c>
      <c r="G43" s="81">
        <v>100</v>
      </c>
      <c r="H43" s="81">
        <v>100</v>
      </c>
      <c r="I43" s="81">
        <v>100</v>
      </c>
      <c r="J43" s="81">
        <v>100</v>
      </c>
      <c r="K43" s="81">
        <v>100</v>
      </c>
      <c r="L43" s="3"/>
    </row>
    <row r="44" spans="1:12" ht="63" customHeight="1" x14ac:dyDescent="0.2">
      <c r="A44" s="71"/>
      <c r="B44" s="84" t="s">
        <v>213</v>
      </c>
      <c r="C44" s="75" t="s">
        <v>90</v>
      </c>
      <c r="D44" s="81">
        <v>100</v>
      </c>
      <c r="E44" s="81">
        <v>100</v>
      </c>
      <c r="F44" s="81">
        <v>100</v>
      </c>
      <c r="G44" s="81">
        <v>100</v>
      </c>
      <c r="H44" s="81">
        <v>100</v>
      </c>
      <c r="I44" s="81">
        <v>100</v>
      </c>
      <c r="J44" s="81">
        <v>100</v>
      </c>
      <c r="K44" s="81">
        <v>100</v>
      </c>
      <c r="L44" s="3"/>
    </row>
    <row r="45" spans="1:12" ht="78.75" customHeight="1" x14ac:dyDescent="0.2">
      <c r="A45" s="71"/>
      <c r="B45" s="84" t="s">
        <v>214</v>
      </c>
      <c r="C45" s="75" t="s">
        <v>90</v>
      </c>
      <c r="D45" s="81">
        <v>100</v>
      </c>
      <c r="E45" s="81">
        <v>100</v>
      </c>
      <c r="F45" s="81">
        <v>100</v>
      </c>
      <c r="G45" s="81">
        <v>100</v>
      </c>
      <c r="H45" s="81">
        <v>100</v>
      </c>
      <c r="I45" s="81">
        <v>100</v>
      </c>
      <c r="J45" s="81">
        <v>100</v>
      </c>
      <c r="K45" s="81">
        <v>100</v>
      </c>
      <c r="L45" s="3"/>
    </row>
    <row r="46" spans="1:12" ht="20.25" customHeight="1" x14ac:dyDescent="0.25">
      <c r="A46" s="71"/>
      <c r="B46" s="86"/>
      <c r="C46" s="74"/>
      <c r="D46" s="72"/>
      <c r="E46" s="72"/>
      <c r="F46" s="72"/>
      <c r="G46" s="72"/>
      <c r="H46" s="72"/>
      <c r="I46" s="72"/>
      <c r="J46" s="72"/>
      <c r="K46" s="72"/>
      <c r="L46" s="73"/>
    </row>
    <row r="47" spans="1:12" ht="18.75" customHeight="1" x14ac:dyDescent="0.3">
      <c r="A47" s="9"/>
      <c r="B47" s="87"/>
      <c r="C47" s="88"/>
      <c r="D47" s="88"/>
      <c r="E47" s="88"/>
    </row>
    <row r="48" spans="1:12" s="24" customFormat="1" ht="20.25" customHeight="1" x14ac:dyDescent="0.25">
      <c r="A48" s="113" t="s">
        <v>230</v>
      </c>
      <c r="B48" s="113"/>
      <c r="C48" s="113"/>
      <c r="D48" s="113"/>
      <c r="E48" s="113"/>
      <c r="F48" s="113"/>
      <c r="G48" s="113"/>
      <c r="H48" s="113"/>
      <c r="K48" s="65" t="s">
        <v>231</v>
      </c>
    </row>
    <row r="49" spans="1:2" ht="18.75" customHeight="1" x14ac:dyDescent="0.25">
      <c r="A49" s="8"/>
    </row>
    <row r="50" spans="1:2" ht="18.75" customHeight="1" x14ac:dyDescent="0.2">
      <c r="B50" s="27" t="s">
        <v>224</v>
      </c>
    </row>
    <row r="51" spans="1:2" ht="18.75" customHeight="1" x14ac:dyDescent="0.2">
      <c r="B51" s="27" t="s">
        <v>119</v>
      </c>
    </row>
  </sheetData>
  <mergeCells count="21">
    <mergeCell ref="A48:H48"/>
    <mergeCell ref="F7:G7"/>
    <mergeCell ref="K7:K8"/>
    <mergeCell ref="J7:J8"/>
    <mergeCell ref="B33:K33"/>
    <mergeCell ref="A6:A8"/>
    <mergeCell ref="D7:E7"/>
    <mergeCell ref="B6:B8"/>
    <mergeCell ref="D6:E6"/>
    <mergeCell ref="C6:C8"/>
    <mergeCell ref="J1:L1"/>
    <mergeCell ref="J2:L2"/>
    <mergeCell ref="F6:I6"/>
    <mergeCell ref="L6:L8"/>
    <mergeCell ref="H7:I7"/>
    <mergeCell ref="B4:L4"/>
    <mergeCell ref="B35:K35"/>
    <mergeCell ref="B36:K36"/>
    <mergeCell ref="B40:K40"/>
    <mergeCell ref="B41:K41"/>
    <mergeCell ref="J6:K6"/>
  </mergeCells>
  <phoneticPr fontId="1" type="noConversion"/>
  <pageMargins left="0.98425196850393704" right="0.23622047244094491" top="0.78740157480314965" bottom="0.39370078740157483" header="0.51181102362204722" footer="0.35433070866141736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181"/>
  <sheetViews>
    <sheetView view="pageBreakPreview" topLeftCell="B145" zoomScale="70" zoomScaleNormal="85" zoomScaleSheetLayoutView="70" workbookViewId="0">
      <selection activeCell="P160" sqref="P160"/>
    </sheetView>
  </sheetViews>
  <sheetFormatPr defaultColWidth="12.42578125" defaultRowHeight="12.75" x14ac:dyDescent="0.2"/>
  <cols>
    <col min="1" max="1" width="15.85546875" style="24" customWidth="1"/>
    <col min="2" max="2" width="16.85546875" style="24" customWidth="1"/>
    <col min="3" max="3" width="16.7109375" style="24" customWidth="1"/>
    <col min="4" max="4" width="9.85546875" style="24" customWidth="1"/>
    <col min="5" max="5" width="9.5703125" style="24" customWidth="1"/>
    <col min="6" max="6" width="12.42578125" style="24" customWidth="1"/>
    <col min="7" max="7" width="8.140625" style="24" customWidth="1"/>
    <col min="8" max="9" width="12.42578125" style="24" customWidth="1"/>
    <col min="10" max="10" width="16.5703125" style="24" customWidth="1"/>
    <col min="11" max="11" width="17.5703125" style="24" customWidth="1"/>
    <col min="12" max="12" width="16.85546875" style="24" customWidth="1"/>
    <col min="13" max="13" width="14.42578125" style="24" customWidth="1"/>
    <col min="14" max="14" width="15" style="24" customWidth="1"/>
    <col min="15" max="15" width="15.5703125" style="24" customWidth="1"/>
    <col min="16" max="16" width="22.140625" style="24" customWidth="1"/>
    <col min="17" max="16384" width="12.42578125" style="24"/>
  </cols>
  <sheetData>
    <row r="1" spans="1:18" ht="15.75" hidden="1" customHeight="1" x14ac:dyDescent="0.25">
      <c r="N1" s="133" t="s">
        <v>99</v>
      </c>
      <c r="O1" s="133"/>
      <c r="P1" s="133"/>
    </row>
    <row r="2" spans="1:18" ht="62.25" hidden="1" customHeight="1" x14ac:dyDescent="0.25">
      <c r="N2" s="134" t="s">
        <v>69</v>
      </c>
      <c r="O2" s="134"/>
      <c r="P2" s="134"/>
    </row>
    <row r="4" spans="1:18" ht="52.5" customHeight="1" x14ac:dyDescent="0.2">
      <c r="M4" s="132" t="s">
        <v>175</v>
      </c>
      <c r="N4" s="132"/>
      <c r="O4" s="132"/>
      <c r="P4" s="132"/>
    </row>
    <row r="6" spans="1:18" ht="45" customHeight="1" x14ac:dyDescent="0.25">
      <c r="A6" s="135" t="s">
        <v>176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</row>
    <row r="7" spans="1:18" ht="18" customHeight="1" x14ac:dyDescent="0.2">
      <c r="P7" s="36" t="s">
        <v>76</v>
      </c>
    </row>
    <row r="8" spans="1:18" s="34" customFormat="1" ht="26.25" customHeight="1" x14ac:dyDescent="0.2">
      <c r="A8" s="129" t="s">
        <v>66</v>
      </c>
      <c r="B8" s="129" t="s">
        <v>46</v>
      </c>
      <c r="C8" s="129" t="s">
        <v>64</v>
      </c>
      <c r="D8" s="129" t="s">
        <v>26</v>
      </c>
      <c r="E8" s="129"/>
      <c r="F8" s="129"/>
      <c r="G8" s="129"/>
      <c r="H8" s="136" t="s">
        <v>31</v>
      </c>
      <c r="I8" s="136"/>
      <c r="J8" s="136"/>
      <c r="K8" s="136"/>
      <c r="L8" s="136"/>
      <c r="M8" s="136"/>
      <c r="N8" s="136"/>
      <c r="O8" s="136"/>
      <c r="P8" s="129" t="s">
        <v>42</v>
      </c>
    </row>
    <row r="9" spans="1:18" s="34" customFormat="1" ht="15.75" customHeight="1" x14ac:dyDescent="0.2">
      <c r="A9" s="129"/>
      <c r="B9" s="129"/>
      <c r="C9" s="129"/>
      <c r="D9" s="129" t="s">
        <v>27</v>
      </c>
      <c r="E9" s="129" t="s">
        <v>32</v>
      </c>
      <c r="F9" s="129" t="s">
        <v>28</v>
      </c>
      <c r="G9" s="129" t="s">
        <v>29</v>
      </c>
      <c r="H9" s="61"/>
      <c r="I9" s="61"/>
      <c r="J9" s="129" t="s">
        <v>223</v>
      </c>
      <c r="K9" s="129"/>
      <c r="L9" s="129"/>
      <c r="M9" s="129"/>
      <c r="N9" s="130" t="s">
        <v>2</v>
      </c>
      <c r="O9" s="131"/>
      <c r="P9" s="129"/>
    </row>
    <row r="10" spans="1:18" s="34" customFormat="1" ht="51" customHeight="1" x14ac:dyDescent="0.2">
      <c r="A10" s="129"/>
      <c r="B10" s="129"/>
      <c r="C10" s="129"/>
      <c r="D10" s="129"/>
      <c r="E10" s="129"/>
      <c r="F10" s="129"/>
      <c r="G10" s="129"/>
      <c r="H10" s="129" t="s">
        <v>215</v>
      </c>
      <c r="I10" s="129"/>
      <c r="J10" s="129" t="s">
        <v>18</v>
      </c>
      <c r="K10" s="129"/>
      <c r="L10" s="129" t="s">
        <v>19</v>
      </c>
      <c r="M10" s="129"/>
      <c r="N10" s="61" t="s">
        <v>216</v>
      </c>
      <c r="O10" s="61" t="s">
        <v>217</v>
      </c>
      <c r="P10" s="129"/>
    </row>
    <row r="11" spans="1:18" s="34" customFormat="1" ht="32.25" customHeight="1" x14ac:dyDescent="0.2">
      <c r="A11" s="129"/>
      <c r="B11" s="129"/>
      <c r="C11" s="129"/>
      <c r="D11" s="129"/>
      <c r="E11" s="129"/>
      <c r="F11" s="129"/>
      <c r="G11" s="129"/>
      <c r="H11" s="61" t="s">
        <v>3</v>
      </c>
      <c r="I11" s="61" t="s">
        <v>4</v>
      </c>
      <c r="J11" s="61" t="s">
        <v>3</v>
      </c>
      <c r="K11" s="61" t="s">
        <v>4</v>
      </c>
      <c r="L11" s="61" t="s">
        <v>3</v>
      </c>
      <c r="M11" s="61" t="s">
        <v>4</v>
      </c>
      <c r="N11" s="45" t="s">
        <v>5</v>
      </c>
      <c r="O11" s="45" t="s">
        <v>6</v>
      </c>
      <c r="P11" s="129"/>
      <c r="R11" s="42"/>
    </row>
    <row r="12" spans="1:18" s="34" customFormat="1" ht="25.5" x14ac:dyDescent="0.2">
      <c r="A12" s="128" t="s">
        <v>67</v>
      </c>
      <c r="B12" s="128" t="s">
        <v>172</v>
      </c>
      <c r="C12" s="31" t="s">
        <v>30</v>
      </c>
      <c r="D12" s="28" t="s">
        <v>86</v>
      </c>
      <c r="E12" s="28" t="s">
        <v>86</v>
      </c>
      <c r="F12" s="28" t="s">
        <v>86</v>
      </c>
      <c r="G12" s="28" t="s">
        <v>86</v>
      </c>
      <c r="H12" s="25">
        <f>H14+H15</f>
        <v>858330.75</v>
      </c>
      <c r="I12" s="25">
        <f t="shared" ref="I12:O12" si="0">I14+I15</f>
        <v>835126.93400000001</v>
      </c>
      <c r="J12" s="25">
        <f>J14+J15</f>
        <v>469872.81599999993</v>
      </c>
      <c r="K12" s="25">
        <f t="shared" si="0"/>
        <v>468224.85199999996</v>
      </c>
      <c r="L12" s="25">
        <f>L14+L15</f>
        <v>945449.77900000033</v>
      </c>
      <c r="M12" s="25">
        <f>M14+M15</f>
        <v>936112.96300000022</v>
      </c>
      <c r="N12" s="25">
        <f t="shared" si="0"/>
        <v>886994.84200000006</v>
      </c>
      <c r="O12" s="25">
        <f t="shared" si="0"/>
        <v>885523.82500000007</v>
      </c>
      <c r="P12" s="33"/>
      <c r="R12" s="42">
        <f t="shared" ref="R12:R43" si="1">K12/J12*100</f>
        <v>99.649274453876899</v>
      </c>
    </row>
    <row r="13" spans="1:18" s="34" customFormat="1" ht="25.5" x14ac:dyDescent="0.2">
      <c r="A13" s="128"/>
      <c r="B13" s="128"/>
      <c r="C13" s="31" t="s">
        <v>65</v>
      </c>
      <c r="D13" s="37"/>
      <c r="E13" s="37"/>
      <c r="F13" s="37"/>
      <c r="G13" s="37"/>
      <c r="H13" s="26"/>
      <c r="I13" s="26"/>
      <c r="J13" s="26"/>
      <c r="K13" s="26"/>
      <c r="L13" s="26"/>
      <c r="M13" s="26"/>
      <c r="N13" s="26"/>
      <c r="O13" s="26"/>
      <c r="P13" s="33"/>
      <c r="R13" s="42"/>
    </row>
    <row r="14" spans="1:18" s="34" customFormat="1" ht="51" x14ac:dyDescent="0.2">
      <c r="A14" s="128"/>
      <c r="B14" s="128"/>
      <c r="C14" s="31" t="s">
        <v>77</v>
      </c>
      <c r="D14" s="28" t="s">
        <v>80</v>
      </c>
      <c r="E14" s="28" t="s">
        <v>86</v>
      </c>
      <c r="F14" s="28" t="s">
        <v>86</v>
      </c>
      <c r="G14" s="28" t="s">
        <v>86</v>
      </c>
      <c r="H14" s="26">
        <f>H16+H117+H125+H167+H170</f>
        <v>858178.25</v>
      </c>
      <c r="I14" s="26">
        <f>I16+I117+I125+I172</f>
        <v>835126.93400000001</v>
      </c>
      <c r="J14" s="26">
        <f>J16+J117+J125+J170+J171+J167+J168</f>
        <v>469846.03599999991</v>
      </c>
      <c r="K14" s="26">
        <f>K16+K117+K125+K170+K171</f>
        <v>468198.07199999993</v>
      </c>
      <c r="L14" s="26">
        <f>L16+L117+L125+L170+L171+L167+L168</f>
        <v>945412.9990000003</v>
      </c>
      <c r="M14" s="26">
        <f>M16+M117+M125+M170+M171+M167+M168</f>
        <v>936076.18300000019</v>
      </c>
      <c r="N14" s="26">
        <f>N16+N117+N125+N170+N171</f>
        <v>886842.34200000006</v>
      </c>
      <c r="O14" s="26">
        <f>O16+O117+O125+O170+O171</f>
        <v>885371.32500000007</v>
      </c>
      <c r="P14" s="33"/>
      <c r="R14" s="42">
        <f t="shared" si="1"/>
        <v>99.649254463434488</v>
      </c>
    </row>
    <row r="15" spans="1:18" s="34" customFormat="1" ht="25.5" x14ac:dyDescent="0.2">
      <c r="A15" s="128"/>
      <c r="B15" s="128"/>
      <c r="C15" s="31" t="s">
        <v>229</v>
      </c>
      <c r="D15" s="28" t="s">
        <v>227</v>
      </c>
      <c r="E15" s="28" t="s">
        <v>86</v>
      </c>
      <c r="F15" s="28" t="s">
        <v>86</v>
      </c>
      <c r="G15" s="28" t="s">
        <v>86</v>
      </c>
      <c r="H15" s="26">
        <f>H166</f>
        <v>152.5</v>
      </c>
      <c r="I15" s="26">
        <f>I166</f>
        <v>0</v>
      </c>
      <c r="J15" s="26">
        <f t="shared" ref="J15:O15" si="2">J169</f>
        <v>26.78</v>
      </c>
      <c r="K15" s="26">
        <f t="shared" si="2"/>
        <v>26.78</v>
      </c>
      <c r="L15" s="26">
        <f>L169</f>
        <v>36.78</v>
      </c>
      <c r="M15" s="26">
        <f t="shared" si="2"/>
        <v>36.78</v>
      </c>
      <c r="N15" s="26">
        <f t="shared" si="2"/>
        <v>152.5</v>
      </c>
      <c r="O15" s="26">
        <f t="shared" si="2"/>
        <v>152.5</v>
      </c>
      <c r="P15" s="33"/>
      <c r="R15" s="42">
        <f t="shared" si="1"/>
        <v>100</v>
      </c>
    </row>
    <row r="16" spans="1:18" s="34" customFormat="1" ht="25.5" x14ac:dyDescent="0.2">
      <c r="A16" s="128" t="s">
        <v>37</v>
      </c>
      <c r="B16" s="128" t="s">
        <v>78</v>
      </c>
      <c r="C16" s="31" t="s">
        <v>30</v>
      </c>
      <c r="D16" s="28" t="s">
        <v>86</v>
      </c>
      <c r="E16" s="28" t="s">
        <v>86</v>
      </c>
      <c r="F16" s="28" t="s">
        <v>86</v>
      </c>
      <c r="G16" s="28" t="s">
        <v>86</v>
      </c>
      <c r="H16" s="25">
        <f>H19</f>
        <v>796889.799</v>
      </c>
      <c r="I16" s="25">
        <f>I19</f>
        <v>774114.04399999999</v>
      </c>
      <c r="J16" s="25">
        <f>J32+J68+J86+J90+J111</f>
        <v>437445.9659999999</v>
      </c>
      <c r="K16" s="25">
        <f>K32+K68+K86+K90+K111</f>
        <v>436100.81299999991</v>
      </c>
      <c r="L16" s="25">
        <f>L19</f>
        <v>877316.62900000031</v>
      </c>
      <c r="M16" s="25">
        <f>M19</f>
        <v>868662.06000000017</v>
      </c>
      <c r="N16" s="25">
        <f>N19</f>
        <v>822030.73300000001</v>
      </c>
      <c r="O16" s="25">
        <f>O19</f>
        <v>820559.71600000001</v>
      </c>
      <c r="P16" s="68" t="s">
        <v>233</v>
      </c>
      <c r="Q16" s="42">
        <f>K16/J16*100</f>
        <v>99.692498478772123</v>
      </c>
      <c r="R16" s="42">
        <f t="shared" si="1"/>
        <v>99.692498478772123</v>
      </c>
    </row>
    <row r="17" spans="1:19" s="34" customFormat="1" ht="25.5" x14ac:dyDescent="0.2">
      <c r="A17" s="128"/>
      <c r="B17" s="128"/>
      <c r="C17" s="31" t="s">
        <v>65</v>
      </c>
      <c r="D17" s="28"/>
      <c r="E17" s="37"/>
      <c r="F17" s="37"/>
      <c r="G17" s="37"/>
      <c r="H17" s="26"/>
      <c r="I17" s="26"/>
      <c r="J17" s="26"/>
      <c r="K17" s="26"/>
      <c r="L17" s="26"/>
      <c r="M17" s="26"/>
      <c r="N17" s="26"/>
      <c r="O17" s="26"/>
      <c r="P17" s="33"/>
      <c r="R17" s="42"/>
    </row>
    <row r="18" spans="1:19" s="39" customFormat="1" x14ac:dyDescent="0.2">
      <c r="A18" s="128"/>
      <c r="B18" s="128"/>
      <c r="C18" s="125" t="s">
        <v>118</v>
      </c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7"/>
      <c r="P18" s="38"/>
      <c r="R18" s="42"/>
    </row>
    <row r="19" spans="1:19" s="34" customFormat="1" ht="51" x14ac:dyDescent="0.2">
      <c r="A19" s="128"/>
      <c r="B19" s="128"/>
      <c r="C19" s="40" t="s">
        <v>77</v>
      </c>
      <c r="D19" s="41" t="s">
        <v>80</v>
      </c>
      <c r="E19" s="41" t="s">
        <v>86</v>
      </c>
      <c r="F19" s="41" t="s">
        <v>86</v>
      </c>
      <c r="G19" s="41" t="s">
        <v>86</v>
      </c>
      <c r="H19" s="25">
        <f t="shared" ref="H19:O19" si="3">H32+H68+H86+H90+H111</f>
        <v>796889.799</v>
      </c>
      <c r="I19" s="25">
        <f t="shared" si="3"/>
        <v>774114.04399999999</v>
      </c>
      <c r="J19" s="25">
        <f>J32+J68+J86+J90+J111</f>
        <v>437445.9659999999</v>
      </c>
      <c r="K19" s="25">
        <f>K32+K68+K86+K90+K111</f>
        <v>436100.81299999991</v>
      </c>
      <c r="L19" s="25">
        <f>L32+L68+L86+L90+L111</f>
        <v>877316.62900000031</v>
      </c>
      <c r="M19" s="25">
        <f>M32+M68+M86+M90+M111</f>
        <v>868662.06000000017</v>
      </c>
      <c r="N19" s="25">
        <f t="shared" si="3"/>
        <v>822030.73300000001</v>
      </c>
      <c r="O19" s="25">
        <f t="shared" si="3"/>
        <v>820559.71600000001</v>
      </c>
      <c r="P19" s="32" t="s">
        <v>234</v>
      </c>
      <c r="R19" s="42">
        <f t="shared" si="1"/>
        <v>99.692498478772123</v>
      </c>
    </row>
    <row r="20" spans="1:19" s="34" customFormat="1" ht="51" customHeight="1" x14ac:dyDescent="0.2">
      <c r="A20" s="128"/>
      <c r="B20" s="128"/>
      <c r="C20" s="119" t="s">
        <v>77</v>
      </c>
      <c r="D20" s="28" t="s">
        <v>80</v>
      </c>
      <c r="E20" s="28" t="s">
        <v>100</v>
      </c>
      <c r="F20" s="28" t="s">
        <v>140</v>
      </c>
      <c r="G20" s="28" t="s">
        <v>120</v>
      </c>
      <c r="H20" s="26">
        <f>85148.861+5.76+0.001</f>
        <v>85154.622000000003</v>
      </c>
      <c r="I20" s="26">
        <f>85138.311+0.003</f>
        <v>85138.313999999998</v>
      </c>
      <c r="J20" s="26">
        <v>44024.593000000001</v>
      </c>
      <c r="K20" s="26">
        <f>43839.487+0.003</f>
        <v>43839.49</v>
      </c>
      <c r="L20" s="26">
        <v>94619.566999999995</v>
      </c>
      <c r="M20" s="26">
        <v>94619.566999999995</v>
      </c>
      <c r="N20" s="26">
        <v>84247.072</v>
      </c>
      <c r="O20" s="26">
        <v>84247.072</v>
      </c>
      <c r="P20" s="32" t="s">
        <v>235</v>
      </c>
      <c r="Q20" s="33"/>
      <c r="R20" s="42">
        <f t="shared" si="1"/>
        <v>99.579546368549046</v>
      </c>
      <c r="S20" s="42">
        <f>M20/L20*100</f>
        <v>100</v>
      </c>
    </row>
    <row r="21" spans="1:19" s="34" customFormat="1" ht="23.25" customHeight="1" x14ac:dyDescent="0.2">
      <c r="A21" s="128"/>
      <c r="B21" s="128"/>
      <c r="C21" s="121"/>
      <c r="D21" s="28" t="s">
        <v>80</v>
      </c>
      <c r="E21" s="28" t="s">
        <v>100</v>
      </c>
      <c r="F21" s="28" t="s">
        <v>147</v>
      </c>
      <c r="G21" s="28" t="s">
        <v>120</v>
      </c>
      <c r="H21" s="26"/>
      <c r="I21" s="26"/>
      <c r="J21" s="26">
        <v>919.10599999999999</v>
      </c>
      <c r="K21" s="26">
        <v>919.10599999999999</v>
      </c>
      <c r="L21" s="26">
        <v>2353.3209999999999</v>
      </c>
      <c r="M21" s="26">
        <v>2353.3209999999999</v>
      </c>
      <c r="N21" s="26">
        <v>0</v>
      </c>
      <c r="O21" s="26">
        <v>0</v>
      </c>
      <c r="P21" s="32" t="s">
        <v>235</v>
      </c>
      <c r="Q21" s="33"/>
      <c r="R21" s="42">
        <f t="shared" si="1"/>
        <v>100</v>
      </c>
      <c r="S21" s="42">
        <f t="shared" ref="S21:S84" si="4">M21/L21*100</f>
        <v>100</v>
      </c>
    </row>
    <row r="22" spans="1:19" s="34" customFormat="1" ht="25.5" x14ac:dyDescent="0.2">
      <c r="A22" s="128"/>
      <c r="B22" s="128"/>
      <c r="C22" s="121"/>
      <c r="D22" s="28" t="s">
        <v>80</v>
      </c>
      <c r="E22" s="28" t="s">
        <v>100</v>
      </c>
      <c r="F22" s="28" t="s">
        <v>139</v>
      </c>
      <c r="G22" s="28" t="s">
        <v>120</v>
      </c>
      <c r="H22" s="26">
        <f>82646.418</f>
        <v>82646.418000000005</v>
      </c>
      <c r="I22" s="26">
        <v>82646.418000000005</v>
      </c>
      <c r="J22" s="26">
        <v>42726.302000000003</v>
      </c>
      <c r="K22" s="26">
        <v>42726.302000000003</v>
      </c>
      <c r="L22" s="26">
        <v>80582.843999999997</v>
      </c>
      <c r="M22" s="26">
        <v>80582.843999999997</v>
      </c>
      <c r="N22" s="26">
        <v>84974.6</v>
      </c>
      <c r="O22" s="26">
        <v>84974.6</v>
      </c>
      <c r="P22" s="32" t="s">
        <v>235</v>
      </c>
      <c r="Q22" s="33"/>
      <c r="R22" s="42">
        <f t="shared" si="1"/>
        <v>100</v>
      </c>
      <c r="S22" s="42">
        <f t="shared" si="4"/>
        <v>100</v>
      </c>
    </row>
    <row r="23" spans="1:19" s="34" customFormat="1" ht="25.5" x14ac:dyDescent="0.2">
      <c r="A23" s="128"/>
      <c r="B23" s="128"/>
      <c r="C23" s="121"/>
      <c r="D23" s="28" t="s">
        <v>80</v>
      </c>
      <c r="E23" s="28" t="s">
        <v>100</v>
      </c>
      <c r="F23" s="28" t="s">
        <v>139</v>
      </c>
      <c r="G23" s="28" t="s">
        <v>121</v>
      </c>
      <c r="H23" s="26">
        <v>773.99199999999996</v>
      </c>
      <c r="I23" s="26">
        <v>773.99199999999996</v>
      </c>
      <c r="J23" s="26">
        <v>705.83600000000001</v>
      </c>
      <c r="K23" s="26">
        <v>705.83600000000001</v>
      </c>
      <c r="L23" s="26">
        <v>705.83600000000001</v>
      </c>
      <c r="M23" s="26">
        <v>705.83600000000001</v>
      </c>
      <c r="N23" s="26"/>
      <c r="O23" s="26"/>
      <c r="P23" s="32" t="s">
        <v>235</v>
      </c>
      <c r="Q23" s="33"/>
      <c r="R23" s="42">
        <f t="shared" si="1"/>
        <v>100</v>
      </c>
      <c r="S23" s="42">
        <f t="shared" si="4"/>
        <v>100</v>
      </c>
    </row>
    <row r="24" spans="1:19" s="34" customFormat="1" ht="24.75" customHeight="1" x14ac:dyDescent="0.2">
      <c r="A24" s="128"/>
      <c r="B24" s="128"/>
      <c r="C24" s="121"/>
      <c r="D24" s="28" t="s">
        <v>80</v>
      </c>
      <c r="E24" s="28" t="s">
        <v>100</v>
      </c>
      <c r="F24" s="28" t="s">
        <v>133</v>
      </c>
      <c r="G24" s="28" t="s">
        <v>120</v>
      </c>
      <c r="H24" s="26">
        <v>52797.281999999999</v>
      </c>
      <c r="I24" s="26">
        <v>52797.281999999999</v>
      </c>
      <c r="J24" s="26">
        <v>27222.178</v>
      </c>
      <c r="K24" s="26">
        <v>27222.178</v>
      </c>
      <c r="L24" s="26">
        <v>56128.74</v>
      </c>
      <c r="M24" s="26">
        <v>56128.74</v>
      </c>
      <c r="N24" s="26">
        <v>54364.4</v>
      </c>
      <c r="O24" s="26">
        <v>54364.4</v>
      </c>
      <c r="P24" s="32" t="s">
        <v>235</v>
      </c>
      <c r="Q24" s="33"/>
      <c r="R24" s="42">
        <f t="shared" si="1"/>
        <v>100</v>
      </c>
      <c r="S24" s="42">
        <f t="shared" si="4"/>
        <v>100</v>
      </c>
    </row>
    <row r="25" spans="1:19" s="34" customFormat="1" ht="25.5" x14ac:dyDescent="0.2">
      <c r="A25" s="128"/>
      <c r="B25" s="128"/>
      <c r="C25" s="121"/>
      <c r="D25" s="28" t="s">
        <v>80</v>
      </c>
      <c r="E25" s="28" t="s">
        <v>100</v>
      </c>
      <c r="F25" s="28" t="s">
        <v>146</v>
      </c>
      <c r="G25" s="28" t="s">
        <v>121</v>
      </c>
      <c r="H25" s="26">
        <v>3618.3620000000001</v>
      </c>
      <c r="I25" s="26">
        <v>3618.3609999999999</v>
      </c>
      <c r="J25" s="26">
        <v>517.4</v>
      </c>
      <c r="K25" s="26">
        <v>517.4</v>
      </c>
      <c r="L25" s="26">
        <v>1564</v>
      </c>
      <c r="M25" s="26">
        <v>1564</v>
      </c>
      <c r="N25" s="26">
        <v>0</v>
      </c>
      <c r="O25" s="26">
        <v>0</v>
      </c>
      <c r="P25" s="32" t="s">
        <v>235</v>
      </c>
      <c r="Q25" s="33"/>
      <c r="R25" s="42">
        <f t="shared" si="1"/>
        <v>100</v>
      </c>
      <c r="S25" s="42">
        <f t="shared" si="4"/>
        <v>100</v>
      </c>
    </row>
    <row r="26" spans="1:19" s="34" customFormat="1" ht="25.5" x14ac:dyDescent="0.2">
      <c r="A26" s="128"/>
      <c r="B26" s="128"/>
      <c r="C26" s="121"/>
      <c r="D26" s="28" t="s">
        <v>80</v>
      </c>
      <c r="E26" s="28" t="s">
        <v>101</v>
      </c>
      <c r="F26" s="28" t="s">
        <v>135</v>
      </c>
      <c r="G26" s="28" t="s">
        <v>120</v>
      </c>
      <c r="H26" s="26">
        <v>430.3</v>
      </c>
      <c r="I26" s="26">
        <v>430.3</v>
      </c>
      <c r="J26" s="26">
        <v>350.64100000000002</v>
      </c>
      <c r="K26" s="26">
        <v>350.64100000000002</v>
      </c>
      <c r="L26" s="26">
        <v>613.79999999999995</v>
      </c>
      <c r="M26" s="26">
        <v>612.64400000000001</v>
      </c>
      <c r="N26" s="26">
        <v>873.6</v>
      </c>
      <c r="O26" s="26">
        <v>873.6</v>
      </c>
      <c r="P26" s="32" t="s">
        <v>236</v>
      </c>
      <c r="Q26" s="33"/>
      <c r="R26" s="42">
        <f t="shared" si="1"/>
        <v>100</v>
      </c>
      <c r="S26" s="42">
        <f t="shared" si="4"/>
        <v>99.811665037471499</v>
      </c>
    </row>
    <row r="27" spans="1:19" s="34" customFormat="1" ht="25.5" x14ac:dyDescent="0.2">
      <c r="A27" s="128"/>
      <c r="B27" s="128"/>
      <c r="C27" s="121"/>
      <c r="D27" s="28" t="s">
        <v>80</v>
      </c>
      <c r="E27" s="28" t="s">
        <v>81</v>
      </c>
      <c r="F27" s="28" t="s">
        <v>136</v>
      </c>
      <c r="G27" s="28" t="s">
        <v>165</v>
      </c>
      <c r="H27" s="26">
        <f>1289.224-0.017</f>
        <v>1289.2069999999999</v>
      </c>
      <c r="I27" s="26">
        <v>1169.4100000000001</v>
      </c>
      <c r="J27" s="26">
        <v>729.11199999999997</v>
      </c>
      <c r="K27" s="26">
        <v>717.16099999999994</v>
      </c>
      <c r="L27" s="26">
        <v>1695.75</v>
      </c>
      <c r="M27" s="26">
        <v>1157.2850000000001</v>
      </c>
      <c r="N27" s="26">
        <v>3001.6</v>
      </c>
      <c r="O27" s="26">
        <v>3001.6</v>
      </c>
      <c r="P27" s="32" t="s">
        <v>237</v>
      </c>
      <c r="Q27" s="33"/>
      <c r="R27" s="42">
        <f t="shared" si="1"/>
        <v>98.360882827329675</v>
      </c>
      <c r="S27" s="42">
        <f t="shared" si="4"/>
        <v>68.246203744655759</v>
      </c>
    </row>
    <row r="28" spans="1:19" s="34" customFormat="1" ht="25.5" x14ac:dyDescent="0.2">
      <c r="A28" s="128"/>
      <c r="B28" s="128"/>
      <c r="C28" s="121"/>
      <c r="D28" s="28" t="s">
        <v>80</v>
      </c>
      <c r="E28" s="28" t="s">
        <v>81</v>
      </c>
      <c r="F28" s="28" t="s">
        <v>136</v>
      </c>
      <c r="G28" s="28" t="s">
        <v>127</v>
      </c>
      <c r="H28" s="26">
        <v>25.376000000000001</v>
      </c>
      <c r="I28" s="26">
        <v>21.308</v>
      </c>
      <c r="J28" s="26">
        <v>10.888</v>
      </c>
      <c r="K28" s="26">
        <v>10.888</v>
      </c>
      <c r="L28" s="26">
        <v>33.35</v>
      </c>
      <c r="M28" s="26">
        <v>22.361999999999998</v>
      </c>
      <c r="N28" s="26">
        <v>60</v>
      </c>
      <c r="O28" s="26">
        <v>60</v>
      </c>
      <c r="P28" s="32" t="s">
        <v>238</v>
      </c>
      <c r="Q28" s="33"/>
      <c r="R28" s="42">
        <f t="shared" si="1"/>
        <v>100</v>
      </c>
      <c r="S28" s="42">
        <f t="shared" si="4"/>
        <v>67.052473763118442</v>
      </c>
    </row>
    <row r="29" spans="1:19" s="34" customFormat="1" ht="25.5" x14ac:dyDescent="0.2">
      <c r="A29" s="128"/>
      <c r="B29" s="128"/>
      <c r="C29" s="121"/>
      <c r="D29" s="28" t="s">
        <v>80</v>
      </c>
      <c r="E29" s="28" t="s">
        <v>100</v>
      </c>
      <c r="F29" s="28" t="s">
        <v>143</v>
      </c>
      <c r="G29" s="28" t="s">
        <v>121</v>
      </c>
      <c r="H29" s="26">
        <v>6.1710000000000003</v>
      </c>
      <c r="I29" s="26">
        <v>6.1710000000000003</v>
      </c>
      <c r="J29" s="26">
        <v>3.206</v>
      </c>
      <c r="K29" s="26">
        <v>3.206</v>
      </c>
      <c r="L29" s="26">
        <v>6.97</v>
      </c>
      <c r="M29" s="26">
        <v>6.97</v>
      </c>
      <c r="N29" s="26">
        <v>6.8869999999999996</v>
      </c>
      <c r="O29" s="26">
        <v>6.8869999999999996</v>
      </c>
      <c r="P29" s="32" t="s">
        <v>235</v>
      </c>
      <c r="Q29" s="33"/>
      <c r="R29" s="42">
        <f t="shared" si="1"/>
        <v>100</v>
      </c>
      <c r="S29" s="42">
        <f t="shared" si="4"/>
        <v>100</v>
      </c>
    </row>
    <row r="30" spans="1:19" s="34" customFormat="1" ht="25.5" customHeight="1" x14ac:dyDescent="0.2">
      <c r="A30" s="128"/>
      <c r="B30" s="128"/>
      <c r="C30" s="121"/>
      <c r="D30" s="28" t="s">
        <v>80</v>
      </c>
      <c r="E30" s="28" t="s">
        <v>100</v>
      </c>
      <c r="F30" s="28" t="s">
        <v>184</v>
      </c>
      <c r="G30" s="28" t="s">
        <v>120</v>
      </c>
      <c r="H30" s="26">
        <v>3108.71</v>
      </c>
      <c r="I30" s="26">
        <v>2538.6759999999999</v>
      </c>
      <c r="J30" s="26"/>
      <c r="K30" s="26"/>
      <c r="L30" s="26"/>
      <c r="M30" s="26"/>
      <c r="N30" s="26"/>
      <c r="O30" s="26"/>
      <c r="P30" s="32"/>
      <c r="Q30" s="33"/>
      <c r="R30" s="42" t="e">
        <f t="shared" si="1"/>
        <v>#DIV/0!</v>
      </c>
      <c r="S30" s="42" t="e">
        <f t="shared" si="4"/>
        <v>#DIV/0!</v>
      </c>
    </row>
    <row r="31" spans="1:19" s="34" customFormat="1" ht="25.5" customHeight="1" x14ac:dyDescent="0.2">
      <c r="A31" s="128"/>
      <c r="B31" s="128"/>
      <c r="C31" s="121"/>
      <c r="D31" s="28" t="s">
        <v>80</v>
      </c>
      <c r="E31" s="28" t="s">
        <v>100</v>
      </c>
      <c r="F31" s="28" t="s">
        <v>166</v>
      </c>
      <c r="G31" s="28" t="s">
        <v>121</v>
      </c>
      <c r="H31" s="82"/>
      <c r="I31" s="82"/>
      <c r="J31" s="89"/>
      <c r="K31" s="82">
        <v>0</v>
      </c>
      <c r="L31" s="26">
        <f>7500+78.069</f>
        <v>7578.0690000000004</v>
      </c>
      <c r="M31" s="26">
        <f>6774.464+76</f>
        <v>6850.4639999999999</v>
      </c>
      <c r="N31" s="82">
        <v>0</v>
      </c>
      <c r="O31" s="82">
        <v>0</v>
      </c>
      <c r="P31" s="32" t="s">
        <v>239</v>
      </c>
      <c r="Q31" s="33"/>
      <c r="R31" s="42" t="e">
        <f t="shared" si="1"/>
        <v>#DIV/0!</v>
      </c>
      <c r="S31" s="42">
        <f t="shared" si="4"/>
        <v>90.398543481195532</v>
      </c>
    </row>
    <row r="32" spans="1:19" s="39" customFormat="1" ht="25.5" x14ac:dyDescent="0.2">
      <c r="A32" s="128"/>
      <c r="B32" s="128"/>
      <c r="C32" s="40" t="s">
        <v>108</v>
      </c>
      <c r="D32" s="41"/>
      <c r="E32" s="41"/>
      <c r="F32" s="41"/>
      <c r="G32" s="41"/>
      <c r="H32" s="25">
        <f>SUM(H20:H31,0)</f>
        <v>229850.43999999997</v>
      </c>
      <c r="I32" s="25">
        <f t="shared" ref="I32:O32" si="5">SUM(I20:I31,0)</f>
        <v>229140.23200000002</v>
      </c>
      <c r="J32" s="25">
        <f>SUM(J20:J31,0)</f>
        <v>117209.262</v>
      </c>
      <c r="K32" s="25">
        <f t="shared" si="5"/>
        <v>117012.208</v>
      </c>
      <c r="L32" s="25">
        <f>SUM(L20:L31,0)</f>
        <v>245882.24699999997</v>
      </c>
      <c r="M32" s="25">
        <f t="shared" si="5"/>
        <v>244604.033</v>
      </c>
      <c r="N32" s="25">
        <f t="shared" si="5"/>
        <v>227528.15900000001</v>
      </c>
      <c r="O32" s="25">
        <f t="shared" si="5"/>
        <v>227528.15900000001</v>
      </c>
      <c r="P32" s="68" t="s">
        <v>240</v>
      </c>
      <c r="R32" s="42">
        <f t="shared" si="1"/>
        <v>99.831878473904226</v>
      </c>
      <c r="S32" s="42">
        <f t="shared" si="4"/>
        <v>99.480151976974582</v>
      </c>
    </row>
    <row r="33" spans="1:19" s="39" customFormat="1" x14ac:dyDescent="0.2">
      <c r="A33" s="128"/>
      <c r="B33" s="128"/>
      <c r="C33" s="125" t="s">
        <v>109</v>
      </c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7"/>
      <c r="R33" s="42" t="e">
        <f t="shared" si="1"/>
        <v>#DIV/0!</v>
      </c>
      <c r="S33" s="42" t="e">
        <f t="shared" si="4"/>
        <v>#DIV/0!</v>
      </c>
    </row>
    <row r="34" spans="1:19" s="34" customFormat="1" ht="51" customHeight="1" x14ac:dyDescent="0.2">
      <c r="A34" s="128"/>
      <c r="B34" s="128"/>
      <c r="C34" s="119" t="s">
        <v>77</v>
      </c>
      <c r="D34" s="28" t="s">
        <v>80</v>
      </c>
      <c r="E34" s="28" t="s">
        <v>102</v>
      </c>
      <c r="F34" s="28" t="s">
        <v>140</v>
      </c>
      <c r="G34" s="28" t="s">
        <v>120</v>
      </c>
      <c r="H34" s="26">
        <v>142662.04800000001</v>
      </c>
      <c r="I34" s="26">
        <v>142661.32800000001</v>
      </c>
      <c r="J34" s="26">
        <v>79328.024000000005</v>
      </c>
      <c r="K34" s="26">
        <v>79162.370999999999</v>
      </c>
      <c r="L34" s="26">
        <v>150556.51800000001</v>
      </c>
      <c r="M34" s="26">
        <v>150547.734</v>
      </c>
      <c r="N34" s="26">
        <v>150856.943</v>
      </c>
      <c r="O34" s="26">
        <v>150856.943</v>
      </c>
      <c r="P34" s="32" t="s">
        <v>241</v>
      </c>
      <c r="Q34" s="33"/>
      <c r="R34" s="42">
        <f t="shared" si="1"/>
        <v>99.791179722313501</v>
      </c>
      <c r="S34" s="42">
        <f t="shared" si="4"/>
        <v>99.994165646152894</v>
      </c>
    </row>
    <row r="35" spans="1:19" s="34" customFormat="1" ht="25.5" x14ac:dyDescent="0.2">
      <c r="A35" s="128"/>
      <c r="B35" s="128"/>
      <c r="C35" s="121"/>
      <c r="D35" s="28" t="s">
        <v>80</v>
      </c>
      <c r="E35" s="28" t="s">
        <v>102</v>
      </c>
      <c r="F35" s="28" t="s">
        <v>140</v>
      </c>
      <c r="G35" s="28" t="s">
        <v>122</v>
      </c>
      <c r="H35" s="26">
        <v>8614.7970000000005</v>
      </c>
      <c r="I35" s="26">
        <v>8614.7970000000005</v>
      </c>
      <c r="J35" s="26">
        <v>6010.973</v>
      </c>
      <c r="K35" s="26">
        <v>6010.973</v>
      </c>
      <c r="L35" s="26">
        <v>10163.307000000001</v>
      </c>
      <c r="M35" s="26">
        <v>10163.307000000001</v>
      </c>
      <c r="N35" s="26">
        <v>9813.3070000000007</v>
      </c>
      <c r="O35" s="26">
        <v>9813.3070000000007</v>
      </c>
      <c r="P35" s="32" t="s">
        <v>235</v>
      </c>
      <c r="Q35" s="33"/>
      <c r="R35" s="42">
        <f t="shared" si="1"/>
        <v>100</v>
      </c>
      <c r="S35" s="42">
        <f t="shared" si="4"/>
        <v>100</v>
      </c>
    </row>
    <row r="36" spans="1:19" s="34" customFormat="1" ht="27.75" customHeight="1" x14ac:dyDescent="0.2">
      <c r="A36" s="128"/>
      <c r="B36" s="128"/>
      <c r="C36" s="121"/>
      <c r="D36" s="28" t="s">
        <v>80</v>
      </c>
      <c r="E36" s="28" t="s">
        <v>102</v>
      </c>
      <c r="F36" s="28" t="s">
        <v>147</v>
      </c>
      <c r="G36" s="28" t="s">
        <v>120</v>
      </c>
      <c r="H36" s="26"/>
      <c r="I36" s="26"/>
      <c r="J36" s="26">
        <v>1631.4380000000001</v>
      </c>
      <c r="K36" s="26">
        <v>1631.4380000000001</v>
      </c>
      <c r="L36" s="26">
        <v>3680.06</v>
      </c>
      <c r="M36" s="26">
        <v>3680.06</v>
      </c>
      <c r="N36" s="26">
        <v>0</v>
      </c>
      <c r="O36" s="26">
        <v>0</v>
      </c>
      <c r="P36" s="32" t="s">
        <v>235</v>
      </c>
      <c r="Q36" s="33"/>
      <c r="R36" s="42">
        <f t="shared" si="1"/>
        <v>100</v>
      </c>
      <c r="S36" s="42">
        <f t="shared" si="4"/>
        <v>100</v>
      </c>
    </row>
    <row r="37" spans="1:19" s="34" customFormat="1" ht="25.5" customHeight="1" x14ac:dyDescent="0.2">
      <c r="A37" s="128"/>
      <c r="B37" s="128"/>
      <c r="C37" s="121"/>
      <c r="D37" s="28" t="s">
        <v>80</v>
      </c>
      <c r="E37" s="28" t="s">
        <v>102</v>
      </c>
      <c r="F37" s="28" t="s">
        <v>147</v>
      </c>
      <c r="G37" s="28" t="s">
        <v>122</v>
      </c>
      <c r="H37" s="26"/>
      <c r="I37" s="26"/>
      <c r="J37" s="26">
        <v>118.345</v>
      </c>
      <c r="K37" s="26">
        <v>118.345</v>
      </c>
      <c r="L37" s="26">
        <v>267.05399999999997</v>
      </c>
      <c r="M37" s="26">
        <v>267.05399999999997</v>
      </c>
      <c r="N37" s="26">
        <v>0</v>
      </c>
      <c r="O37" s="26">
        <v>0</v>
      </c>
      <c r="P37" s="32" t="s">
        <v>235</v>
      </c>
      <c r="Q37" s="33"/>
      <c r="R37" s="42">
        <f t="shared" si="1"/>
        <v>100</v>
      </c>
      <c r="S37" s="42">
        <f t="shared" si="4"/>
        <v>100</v>
      </c>
    </row>
    <row r="38" spans="1:19" s="34" customFormat="1" ht="25.5" x14ac:dyDescent="0.2">
      <c r="A38" s="128"/>
      <c r="B38" s="128"/>
      <c r="C38" s="121"/>
      <c r="D38" s="28" t="s">
        <v>80</v>
      </c>
      <c r="E38" s="28" t="s">
        <v>102</v>
      </c>
      <c r="F38" s="28" t="s">
        <v>134</v>
      </c>
      <c r="G38" s="28" t="s">
        <v>120</v>
      </c>
      <c r="H38" s="26">
        <v>45173.288</v>
      </c>
      <c r="I38" s="26">
        <v>45173.288</v>
      </c>
      <c r="J38" s="26">
        <v>25943.213</v>
      </c>
      <c r="K38" s="26">
        <v>25943.213</v>
      </c>
      <c r="L38" s="26">
        <v>46590.161</v>
      </c>
      <c r="M38" s="26">
        <v>46590.161</v>
      </c>
      <c r="N38" s="26">
        <v>46100.095000000001</v>
      </c>
      <c r="O38" s="26">
        <v>46100.095000000001</v>
      </c>
      <c r="P38" s="32" t="s">
        <v>235</v>
      </c>
      <c r="Q38" s="33"/>
      <c r="R38" s="42">
        <f t="shared" si="1"/>
        <v>100</v>
      </c>
      <c r="S38" s="42">
        <f t="shared" si="4"/>
        <v>100</v>
      </c>
    </row>
    <row r="39" spans="1:19" s="34" customFormat="1" ht="25.5" x14ac:dyDescent="0.2">
      <c r="A39" s="128"/>
      <c r="B39" s="128"/>
      <c r="C39" s="121"/>
      <c r="D39" s="28" t="s">
        <v>80</v>
      </c>
      <c r="E39" s="28" t="s">
        <v>102</v>
      </c>
      <c r="F39" s="28" t="s">
        <v>134</v>
      </c>
      <c r="G39" s="28" t="s">
        <v>122</v>
      </c>
      <c r="H39" s="26">
        <v>5262.7120000000004</v>
      </c>
      <c r="I39" s="26">
        <v>5262.7120000000004</v>
      </c>
      <c r="J39" s="26">
        <v>2901.5720000000001</v>
      </c>
      <c r="K39" s="26">
        <v>2901.5720000000001</v>
      </c>
      <c r="L39" s="26">
        <v>5294.8190000000004</v>
      </c>
      <c r="M39" s="26">
        <v>5294.8190000000004</v>
      </c>
      <c r="N39" s="26">
        <v>5048.7049999999999</v>
      </c>
      <c r="O39" s="26">
        <v>5048.7049999999999</v>
      </c>
      <c r="P39" s="32" t="s">
        <v>235</v>
      </c>
      <c r="Q39" s="33"/>
      <c r="R39" s="42">
        <f t="shared" si="1"/>
        <v>100</v>
      </c>
      <c r="S39" s="42">
        <f t="shared" si="4"/>
        <v>100</v>
      </c>
    </row>
    <row r="40" spans="1:19" s="34" customFormat="1" ht="27.75" customHeight="1" x14ac:dyDescent="0.2">
      <c r="A40" s="128"/>
      <c r="B40" s="128"/>
      <c r="C40" s="121"/>
      <c r="D40" s="28" t="s">
        <v>80</v>
      </c>
      <c r="E40" s="28" t="s">
        <v>102</v>
      </c>
      <c r="F40" s="28" t="s">
        <v>146</v>
      </c>
      <c r="G40" s="28" t="s">
        <v>121</v>
      </c>
      <c r="H40" s="26">
        <v>9147.4349999999995</v>
      </c>
      <c r="I40" s="26">
        <v>9131.4269999999997</v>
      </c>
      <c r="J40" s="26">
        <v>170.28100000000001</v>
      </c>
      <c r="K40" s="26">
        <v>162.48099999999999</v>
      </c>
      <c r="L40" s="26">
        <v>4450.8010000000004</v>
      </c>
      <c r="M40" s="26">
        <v>4450.2870000000003</v>
      </c>
      <c r="N40" s="26">
        <v>144</v>
      </c>
      <c r="O40" s="26">
        <v>144</v>
      </c>
      <c r="P40" s="32" t="s">
        <v>241</v>
      </c>
      <c r="Q40" s="33"/>
      <c r="R40" s="42">
        <f t="shared" si="1"/>
        <v>95.419336273571318</v>
      </c>
      <c r="S40" s="42">
        <f t="shared" si="4"/>
        <v>99.988451516929203</v>
      </c>
    </row>
    <row r="41" spans="1:19" s="34" customFormat="1" ht="25.5" x14ac:dyDescent="0.2">
      <c r="A41" s="128"/>
      <c r="B41" s="128"/>
      <c r="C41" s="121"/>
      <c r="D41" s="28" t="s">
        <v>80</v>
      </c>
      <c r="E41" s="28" t="s">
        <v>102</v>
      </c>
      <c r="F41" s="28" t="s">
        <v>146</v>
      </c>
      <c r="G41" s="28" t="s">
        <v>123</v>
      </c>
      <c r="H41" s="26">
        <v>494.56</v>
      </c>
      <c r="I41" s="26">
        <v>494.56</v>
      </c>
      <c r="J41" s="26"/>
      <c r="K41" s="26">
        <v>0</v>
      </c>
      <c r="L41" s="26">
        <v>335</v>
      </c>
      <c r="M41" s="26">
        <v>335</v>
      </c>
      <c r="N41" s="26">
        <v>0</v>
      </c>
      <c r="O41" s="26">
        <v>0</v>
      </c>
      <c r="P41" s="32" t="s">
        <v>235</v>
      </c>
      <c r="Q41" s="33"/>
      <c r="R41" s="42" t="e">
        <f t="shared" si="1"/>
        <v>#DIV/0!</v>
      </c>
      <c r="S41" s="42">
        <f t="shared" si="4"/>
        <v>100</v>
      </c>
    </row>
    <row r="42" spans="1:19" s="34" customFormat="1" ht="25.5" x14ac:dyDescent="0.2">
      <c r="A42" s="128"/>
      <c r="B42" s="128"/>
      <c r="C42" s="121"/>
      <c r="D42" s="28" t="s">
        <v>80</v>
      </c>
      <c r="E42" s="28" t="s">
        <v>102</v>
      </c>
      <c r="F42" s="28" t="s">
        <v>137</v>
      </c>
      <c r="G42" s="28" t="s">
        <v>120</v>
      </c>
      <c r="H42" s="26">
        <v>185341.68299999999</v>
      </c>
      <c r="I42" s="26">
        <v>184717.86799999999</v>
      </c>
      <c r="J42" s="26">
        <v>113084.077</v>
      </c>
      <c r="K42" s="26">
        <v>113084.077</v>
      </c>
      <c r="L42" s="26">
        <v>202737.598</v>
      </c>
      <c r="M42" s="26">
        <v>202519.32399999999</v>
      </c>
      <c r="N42" s="26">
        <v>190365.95800000001</v>
      </c>
      <c r="O42" s="26">
        <v>190365.95800000001</v>
      </c>
      <c r="P42" s="32" t="s">
        <v>242</v>
      </c>
      <c r="Q42" s="33"/>
      <c r="R42" s="42">
        <f t="shared" si="1"/>
        <v>100</v>
      </c>
      <c r="S42" s="42">
        <f t="shared" si="4"/>
        <v>99.892336694252435</v>
      </c>
    </row>
    <row r="43" spans="1:19" s="34" customFormat="1" ht="25.5" x14ac:dyDescent="0.2">
      <c r="A43" s="128"/>
      <c r="B43" s="128"/>
      <c r="C43" s="121"/>
      <c r="D43" s="28" t="s">
        <v>80</v>
      </c>
      <c r="E43" s="28" t="s">
        <v>102</v>
      </c>
      <c r="F43" s="28" t="s">
        <v>137</v>
      </c>
      <c r="G43" s="28" t="s">
        <v>121</v>
      </c>
      <c r="H43" s="26">
        <v>7943.1620000000003</v>
      </c>
      <c r="I43" s="26">
        <v>7943.1419999999998</v>
      </c>
      <c r="J43" s="26">
        <v>2021</v>
      </c>
      <c r="K43" s="26">
        <v>2021</v>
      </c>
      <c r="L43" s="26">
        <v>9290.4009999999998</v>
      </c>
      <c r="M43" s="26">
        <v>9290.4009999999998</v>
      </c>
      <c r="N43" s="26">
        <v>6060.8339999999998</v>
      </c>
      <c r="O43" s="26">
        <v>6060.8339999999998</v>
      </c>
      <c r="P43" s="32" t="s">
        <v>235</v>
      </c>
      <c r="Q43" s="33"/>
      <c r="R43" s="42">
        <f t="shared" si="1"/>
        <v>100</v>
      </c>
      <c r="S43" s="42">
        <f t="shared" si="4"/>
        <v>100</v>
      </c>
    </row>
    <row r="44" spans="1:19" s="34" customFormat="1" ht="25.5" x14ac:dyDescent="0.2">
      <c r="A44" s="128"/>
      <c r="B44" s="128"/>
      <c r="C44" s="121"/>
      <c r="D44" s="28" t="s">
        <v>80</v>
      </c>
      <c r="E44" s="28" t="s">
        <v>102</v>
      </c>
      <c r="F44" s="28" t="s">
        <v>137</v>
      </c>
      <c r="G44" s="28" t="s">
        <v>122</v>
      </c>
      <c r="H44" s="26">
        <v>16934.798999999999</v>
      </c>
      <c r="I44" s="26">
        <v>16710.679</v>
      </c>
      <c r="J44" s="26">
        <v>11778.761</v>
      </c>
      <c r="K44" s="26">
        <v>11778.761</v>
      </c>
      <c r="L44" s="26">
        <v>20225.705999999998</v>
      </c>
      <c r="M44" s="26">
        <v>20225.705999999998</v>
      </c>
      <c r="N44" s="26">
        <v>17313.373</v>
      </c>
      <c r="O44" s="26">
        <v>17313.373</v>
      </c>
      <c r="P44" s="32" t="s">
        <v>235</v>
      </c>
      <c r="Q44" s="33"/>
      <c r="R44" s="42">
        <f t="shared" ref="R44:R76" si="6">K44/J44*100</f>
        <v>100</v>
      </c>
      <c r="S44" s="42">
        <f t="shared" si="4"/>
        <v>100</v>
      </c>
    </row>
    <row r="45" spans="1:19" s="34" customFormat="1" ht="25.5" x14ac:dyDescent="0.2">
      <c r="A45" s="128"/>
      <c r="B45" s="128"/>
      <c r="C45" s="121"/>
      <c r="D45" s="28" t="s">
        <v>80</v>
      </c>
      <c r="E45" s="28" t="s">
        <v>102</v>
      </c>
      <c r="F45" s="28" t="s">
        <v>137</v>
      </c>
      <c r="G45" s="28" t="s">
        <v>123</v>
      </c>
      <c r="H45" s="26">
        <v>531.33600000000001</v>
      </c>
      <c r="I45" s="26">
        <v>531.33600000000001</v>
      </c>
      <c r="J45" s="26">
        <v>150</v>
      </c>
      <c r="K45" s="26">
        <v>150</v>
      </c>
      <c r="L45" s="26">
        <v>881.83500000000004</v>
      </c>
      <c r="M45" s="26">
        <v>881.83500000000004</v>
      </c>
      <c r="N45" s="26">
        <v>431.83499999999998</v>
      </c>
      <c r="O45" s="26">
        <v>431.83499999999998</v>
      </c>
      <c r="P45" s="32" t="s">
        <v>235</v>
      </c>
      <c r="Q45" s="33"/>
      <c r="R45" s="42">
        <f t="shared" si="6"/>
        <v>100</v>
      </c>
      <c r="S45" s="42">
        <f t="shared" si="4"/>
        <v>100</v>
      </c>
    </row>
    <row r="46" spans="1:19" s="34" customFormat="1" ht="25.5" x14ac:dyDescent="0.2">
      <c r="A46" s="128"/>
      <c r="B46" s="128"/>
      <c r="C46" s="121"/>
      <c r="D46" s="28" t="s">
        <v>80</v>
      </c>
      <c r="E46" s="28" t="s">
        <v>154</v>
      </c>
      <c r="F46" s="28" t="s">
        <v>137</v>
      </c>
      <c r="G46" s="28" t="s">
        <v>120</v>
      </c>
      <c r="H46" s="26">
        <v>20526.737000000001</v>
      </c>
      <c r="I46" s="26">
        <v>20526.737000000001</v>
      </c>
      <c r="J46" s="26">
        <v>12398.267</v>
      </c>
      <c r="K46" s="26">
        <v>12398.267</v>
      </c>
      <c r="L46" s="26">
        <v>19930.21</v>
      </c>
      <c r="M46" s="26">
        <v>19930.21</v>
      </c>
      <c r="N46" s="26">
        <v>23626.555</v>
      </c>
      <c r="O46" s="26">
        <v>23626.555</v>
      </c>
      <c r="P46" s="32" t="s">
        <v>235</v>
      </c>
      <c r="Q46" s="33"/>
      <c r="R46" s="42">
        <f t="shared" si="6"/>
        <v>100</v>
      </c>
      <c r="S46" s="42">
        <f t="shared" si="4"/>
        <v>100</v>
      </c>
    </row>
    <row r="47" spans="1:19" s="34" customFormat="1" ht="25.5" x14ac:dyDescent="0.2">
      <c r="A47" s="128"/>
      <c r="B47" s="128"/>
      <c r="C47" s="121"/>
      <c r="D47" s="28" t="s">
        <v>80</v>
      </c>
      <c r="E47" s="28" t="s">
        <v>154</v>
      </c>
      <c r="F47" s="28" t="s">
        <v>137</v>
      </c>
      <c r="G47" s="28" t="s">
        <v>122</v>
      </c>
      <c r="H47" s="26">
        <v>2650.8229999999999</v>
      </c>
      <c r="I47" s="26">
        <v>2650.8229999999999</v>
      </c>
      <c r="J47" s="26">
        <v>2025.9670000000001</v>
      </c>
      <c r="K47" s="26">
        <v>2025.9670000000001</v>
      </c>
      <c r="L47" s="26">
        <v>3208.89</v>
      </c>
      <c r="M47" s="26">
        <v>3208.89</v>
      </c>
      <c r="N47" s="26">
        <v>3742.0450000000001</v>
      </c>
      <c r="O47" s="26">
        <v>3742.0450000000001</v>
      </c>
      <c r="P47" s="32" t="s">
        <v>235</v>
      </c>
      <c r="Q47" s="33"/>
      <c r="R47" s="42">
        <f t="shared" si="6"/>
        <v>100</v>
      </c>
      <c r="S47" s="42">
        <f t="shared" si="4"/>
        <v>100</v>
      </c>
    </row>
    <row r="48" spans="1:19" s="34" customFormat="1" ht="31.5" customHeight="1" x14ac:dyDescent="0.2">
      <c r="A48" s="128"/>
      <c r="B48" s="128"/>
      <c r="C48" s="121"/>
      <c r="D48" s="28" t="s">
        <v>80</v>
      </c>
      <c r="E48" s="28" t="s">
        <v>101</v>
      </c>
      <c r="F48" s="28" t="s">
        <v>138</v>
      </c>
      <c r="G48" s="28" t="s">
        <v>120</v>
      </c>
      <c r="H48" s="26">
        <v>11728.878000000001</v>
      </c>
      <c r="I48" s="26">
        <v>10391.557000000001</v>
      </c>
      <c r="J48" s="26">
        <v>4757.2240000000002</v>
      </c>
      <c r="K48" s="26">
        <v>4757.2240000000002</v>
      </c>
      <c r="L48" s="26">
        <v>8125.1130000000003</v>
      </c>
      <c r="M48" s="26">
        <v>8125.0129999999999</v>
      </c>
      <c r="N48" s="26">
        <v>13211.194</v>
      </c>
      <c r="O48" s="26">
        <v>15474.593999999999</v>
      </c>
      <c r="P48" s="32" t="s">
        <v>235</v>
      </c>
      <c r="Q48" s="33"/>
      <c r="R48" s="42">
        <f t="shared" si="6"/>
        <v>100</v>
      </c>
      <c r="S48" s="42">
        <f t="shared" si="4"/>
        <v>99.998769247886145</v>
      </c>
    </row>
    <row r="49" spans="1:19" s="34" customFormat="1" ht="31.5" customHeight="1" x14ac:dyDescent="0.2">
      <c r="A49" s="128"/>
      <c r="B49" s="128"/>
      <c r="C49" s="121"/>
      <c r="D49" s="28" t="s">
        <v>80</v>
      </c>
      <c r="E49" s="28" t="s">
        <v>101</v>
      </c>
      <c r="F49" s="28" t="s">
        <v>138</v>
      </c>
      <c r="G49" s="28" t="s">
        <v>122</v>
      </c>
      <c r="H49" s="26">
        <v>1465.22</v>
      </c>
      <c r="I49" s="26">
        <v>1315.0820000000001</v>
      </c>
      <c r="J49" s="26">
        <v>604.77599999999995</v>
      </c>
      <c r="K49" s="26">
        <v>604.77599999999995</v>
      </c>
      <c r="L49" s="26">
        <v>1066.9870000000001</v>
      </c>
      <c r="M49" s="26">
        <v>1066.9870000000001</v>
      </c>
      <c r="N49" s="26">
        <v>1354.606</v>
      </c>
      <c r="O49" s="26">
        <v>1654.606</v>
      </c>
      <c r="P49" s="32" t="s">
        <v>235</v>
      </c>
      <c r="Q49" s="33"/>
      <c r="R49" s="42">
        <f t="shared" si="6"/>
        <v>100</v>
      </c>
      <c r="S49" s="42">
        <f t="shared" si="4"/>
        <v>100</v>
      </c>
    </row>
    <row r="50" spans="1:19" s="34" customFormat="1" ht="42" customHeight="1" x14ac:dyDescent="0.2">
      <c r="A50" s="128"/>
      <c r="B50" s="128"/>
      <c r="C50" s="121"/>
      <c r="D50" s="28" t="s">
        <v>80</v>
      </c>
      <c r="E50" s="28" t="s">
        <v>101</v>
      </c>
      <c r="F50" s="28" t="s">
        <v>204</v>
      </c>
      <c r="G50" s="28" t="s">
        <v>121</v>
      </c>
      <c r="H50" s="26">
        <v>7123.4219999999996</v>
      </c>
      <c r="I50" s="26">
        <v>6526.9229999999998</v>
      </c>
      <c r="J50" s="26">
        <f>2003.418+4844.594+6.855</f>
        <v>6854.8669999999993</v>
      </c>
      <c r="K50" s="26">
        <v>6854.866</v>
      </c>
      <c r="L50" s="26">
        <f>5018.748+9504.747+17.174</f>
        <v>14540.669</v>
      </c>
      <c r="M50" s="26">
        <f>3816.893+9229.877+13.06</f>
        <v>13059.83</v>
      </c>
      <c r="N50" s="26">
        <v>17179.858</v>
      </c>
      <c r="O50" s="26">
        <v>17179.858</v>
      </c>
      <c r="P50" s="32" t="s">
        <v>262</v>
      </c>
      <c r="Q50" s="33"/>
      <c r="R50" s="42">
        <f t="shared" si="6"/>
        <v>99.999985411824923</v>
      </c>
      <c r="S50" s="42">
        <f t="shared" si="4"/>
        <v>89.815881236275999</v>
      </c>
    </row>
    <row r="51" spans="1:19" s="34" customFormat="1" ht="43.5" customHeight="1" x14ac:dyDescent="0.2">
      <c r="A51" s="128"/>
      <c r="B51" s="128"/>
      <c r="C51" s="121"/>
      <c r="D51" s="28" t="s">
        <v>80</v>
      </c>
      <c r="E51" s="28" t="s">
        <v>101</v>
      </c>
      <c r="F51" s="28" t="s">
        <v>204</v>
      </c>
      <c r="G51" s="28" t="s">
        <v>123</v>
      </c>
      <c r="H51" s="26">
        <v>469.50700000000001</v>
      </c>
      <c r="I51" s="26">
        <v>446.745</v>
      </c>
      <c r="J51" s="26">
        <f>125.444+303.345+0.429</f>
        <v>429.21800000000002</v>
      </c>
      <c r="K51" s="26">
        <v>429.21800000000002</v>
      </c>
      <c r="L51" s="26">
        <f>331.14+674.083+1.131</f>
        <v>1006.3539999999999</v>
      </c>
      <c r="M51" s="26">
        <f>269.494+651.682+0.922</f>
        <v>922.09800000000007</v>
      </c>
      <c r="N51" s="26">
        <v>1133.5419999999999</v>
      </c>
      <c r="O51" s="26">
        <v>1133.5419999999999</v>
      </c>
      <c r="P51" s="32" t="s">
        <v>263</v>
      </c>
      <c r="Q51" s="33"/>
      <c r="R51" s="42">
        <f t="shared" si="6"/>
        <v>100</v>
      </c>
      <c r="S51" s="42">
        <f t="shared" si="4"/>
        <v>91.627598240778113</v>
      </c>
    </row>
    <row r="52" spans="1:19" s="34" customFormat="1" ht="25.5" customHeight="1" x14ac:dyDescent="0.2">
      <c r="A52" s="128"/>
      <c r="B52" s="128"/>
      <c r="C52" s="121"/>
      <c r="D52" s="28" t="s">
        <v>80</v>
      </c>
      <c r="E52" s="28" t="s">
        <v>102</v>
      </c>
      <c r="F52" s="28" t="s">
        <v>148</v>
      </c>
      <c r="G52" s="28" t="s">
        <v>121</v>
      </c>
      <c r="H52" s="26">
        <v>2772.7280000000001</v>
      </c>
      <c r="I52" s="26">
        <v>2772.7280000000001</v>
      </c>
      <c r="J52" s="26">
        <f>1754.93+38.182</f>
        <v>1793.1120000000001</v>
      </c>
      <c r="K52" s="26">
        <f>1754.93+38.182</f>
        <v>1793.1120000000001</v>
      </c>
      <c r="L52" s="26">
        <f>3780+38.182</f>
        <v>3818.1819999999998</v>
      </c>
      <c r="M52" s="26">
        <f>3779.991+38.182</f>
        <v>3818.1729999999998</v>
      </c>
      <c r="N52" s="26">
        <v>3780</v>
      </c>
      <c r="O52" s="26">
        <v>3780</v>
      </c>
      <c r="P52" s="32" t="s">
        <v>235</v>
      </c>
      <c r="Q52" s="33"/>
      <c r="R52" s="42">
        <f t="shared" si="6"/>
        <v>100</v>
      </c>
      <c r="S52" s="42">
        <f t="shared" si="4"/>
        <v>99.999764285725519</v>
      </c>
    </row>
    <row r="53" spans="1:19" s="34" customFormat="1" ht="28.5" customHeight="1" x14ac:dyDescent="0.2">
      <c r="A53" s="128"/>
      <c r="B53" s="128"/>
      <c r="C53" s="121"/>
      <c r="D53" s="28" t="s">
        <v>80</v>
      </c>
      <c r="E53" s="28" t="s">
        <v>102</v>
      </c>
      <c r="F53" s="28" t="s">
        <v>143</v>
      </c>
      <c r="G53" s="28" t="s">
        <v>121</v>
      </c>
      <c r="H53" s="26">
        <v>16.146999999999998</v>
      </c>
      <c r="I53" s="26">
        <v>16.099</v>
      </c>
      <c r="J53" s="26">
        <v>8.4359999999999999</v>
      </c>
      <c r="K53" s="26">
        <v>8.4359999999999999</v>
      </c>
      <c r="L53" s="26">
        <v>18.236999999999998</v>
      </c>
      <c r="M53" s="26">
        <v>18.236999999999998</v>
      </c>
      <c r="N53" s="26">
        <v>16.12</v>
      </c>
      <c r="O53" s="26">
        <v>16.12</v>
      </c>
      <c r="P53" s="32" t="s">
        <v>235</v>
      </c>
      <c r="Q53" s="33"/>
      <c r="R53" s="42">
        <f t="shared" si="6"/>
        <v>100</v>
      </c>
      <c r="S53" s="42">
        <f t="shared" si="4"/>
        <v>100</v>
      </c>
    </row>
    <row r="54" spans="1:19" s="34" customFormat="1" ht="26.25" customHeight="1" x14ac:dyDescent="0.2">
      <c r="A54" s="128"/>
      <c r="B54" s="128"/>
      <c r="C54" s="121"/>
      <c r="D54" s="28" t="s">
        <v>80</v>
      </c>
      <c r="E54" s="28" t="s">
        <v>102</v>
      </c>
      <c r="F54" s="28" t="s">
        <v>184</v>
      </c>
      <c r="G54" s="28" t="s">
        <v>120</v>
      </c>
      <c r="H54" s="26">
        <v>5622.7209999999995</v>
      </c>
      <c r="I54" s="26">
        <v>4726.9179999999997</v>
      </c>
      <c r="J54" s="26"/>
      <c r="K54" s="26"/>
      <c r="L54" s="26"/>
      <c r="M54" s="26"/>
      <c r="N54" s="26"/>
      <c r="O54" s="26"/>
      <c r="P54" s="32"/>
      <c r="Q54" s="33"/>
      <c r="R54" s="42" t="e">
        <f t="shared" si="6"/>
        <v>#DIV/0!</v>
      </c>
      <c r="S54" s="42" t="e">
        <f t="shared" si="4"/>
        <v>#DIV/0!</v>
      </c>
    </row>
    <row r="55" spans="1:19" s="34" customFormat="1" ht="24" customHeight="1" x14ac:dyDescent="0.2">
      <c r="A55" s="128"/>
      <c r="B55" s="128"/>
      <c r="C55" s="121"/>
      <c r="D55" s="28" t="s">
        <v>80</v>
      </c>
      <c r="E55" s="28" t="s">
        <v>102</v>
      </c>
      <c r="F55" s="28" t="s">
        <v>184</v>
      </c>
      <c r="G55" s="28" t="s">
        <v>122</v>
      </c>
      <c r="H55" s="26">
        <v>418.69799999999998</v>
      </c>
      <c r="I55" s="26">
        <v>351.45800000000003</v>
      </c>
      <c r="J55" s="26"/>
      <c r="K55" s="26"/>
      <c r="L55" s="26"/>
      <c r="M55" s="26"/>
      <c r="N55" s="26"/>
      <c r="O55" s="26"/>
      <c r="P55" s="32"/>
      <c r="Q55" s="33"/>
      <c r="R55" s="42" t="e">
        <f t="shared" si="6"/>
        <v>#DIV/0!</v>
      </c>
      <c r="S55" s="42" t="e">
        <f t="shared" si="4"/>
        <v>#DIV/0!</v>
      </c>
    </row>
    <row r="56" spans="1:19" s="34" customFormat="1" ht="24" customHeight="1" x14ac:dyDescent="0.2">
      <c r="A56" s="128"/>
      <c r="B56" s="128"/>
      <c r="C56" s="121"/>
      <c r="D56" s="28" t="s">
        <v>80</v>
      </c>
      <c r="E56" s="28" t="s">
        <v>102</v>
      </c>
      <c r="F56" s="28" t="s">
        <v>186</v>
      </c>
      <c r="G56" s="28" t="s">
        <v>121</v>
      </c>
      <c r="H56" s="26">
        <v>606.06100000000004</v>
      </c>
      <c r="I56" s="26">
        <v>606.06100000000004</v>
      </c>
      <c r="J56" s="26">
        <v>12.122</v>
      </c>
      <c r="K56" s="26">
        <v>12.122</v>
      </c>
      <c r="L56" s="26">
        <f>1200+12.139</f>
        <v>1212.1389999999999</v>
      </c>
      <c r="M56" s="26">
        <f>1193.37+12.139</f>
        <v>1205.5089999999998</v>
      </c>
      <c r="N56" s="26">
        <v>0</v>
      </c>
      <c r="O56" s="26">
        <v>0</v>
      </c>
      <c r="P56" s="32" t="s">
        <v>243</v>
      </c>
      <c r="Q56" s="33"/>
      <c r="R56" s="42">
        <f t="shared" si="6"/>
        <v>100</v>
      </c>
      <c r="S56" s="42">
        <f t="shared" si="4"/>
        <v>99.453033026740329</v>
      </c>
    </row>
    <row r="57" spans="1:19" s="34" customFormat="1" ht="24" customHeight="1" x14ac:dyDescent="0.2">
      <c r="A57" s="128"/>
      <c r="B57" s="128"/>
      <c r="C57" s="121"/>
      <c r="D57" s="28" t="s">
        <v>80</v>
      </c>
      <c r="E57" s="28" t="s">
        <v>102</v>
      </c>
      <c r="F57" s="28" t="s">
        <v>186</v>
      </c>
      <c r="G57" s="28" t="s">
        <v>123</v>
      </c>
      <c r="H57" s="26">
        <v>0</v>
      </c>
      <c r="I57" s="26">
        <v>0</v>
      </c>
      <c r="J57" s="26">
        <v>6.0609999999999999</v>
      </c>
      <c r="K57" s="26">
        <v>6.0609999999999999</v>
      </c>
      <c r="L57" s="26">
        <v>606.06100000000004</v>
      </c>
      <c r="M57" s="26">
        <v>606.06100000000004</v>
      </c>
      <c r="N57" s="26">
        <v>0</v>
      </c>
      <c r="O57" s="26">
        <v>0</v>
      </c>
      <c r="P57" s="32" t="s">
        <v>235</v>
      </c>
      <c r="Q57" s="33"/>
      <c r="R57" s="42">
        <f t="shared" si="6"/>
        <v>100</v>
      </c>
      <c r="S57" s="42">
        <f t="shared" si="4"/>
        <v>100</v>
      </c>
    </row>
    <row r="58" spans="1:19" s="34" customFormat="1" ht="28.5" customHeight="1" x14ac:dyDescent="0.2">
      <c r="A58" s="128"/>
      <c r="B58" s="128"/>
      <c r="C58" s="121"/>
      <c r="D58" s="28" t="s">
        <v>80</v>
      </c>
      <c r="E58" s="28" t="s">
        <v>102</v>
      </c>
      <c r="F58" s="28" t="s">
        <v>166</v>
      </c>
      <c r="G58" s="28" t="s">
        <v>121</v>
      </c>
      <c r="H58" s="26">
        <v>2101.3150000000001</v>
      </c>
      <c r="I58" s="26">
        <v>2101.3150000000001</v>
      </c>
      <c r="J58" s="26"/>
      <c r="K58" s="26"/>
      <c r="L58" s="26"/>
      <c r="M58" s="26"/>
      <c r="N58" s="26"/>
      <c r="O58" s="26"/>
      <c r="P58" s="32"/>
      <c r="Q58" s="33"/>
      <c r="R58" s="42" t="e">
        <f t="shared" si="6"/>
        <v>#DIV/0!</v>
      </c>
      <c r="S58" s="42" t="e">
        <f t="shared" si="4"/>
        <v>#DIV/0!</v>
      </c>
    </row>
    <row r="59" spans="1:19" s="34" customFormat="1" ht="34.5" customHeight="1" x14ac:dyDescent="0.2">
      <c r="A59" s="128"/>
      <c r="B59" s="128"/>
      <c r="C59" s="121"/>
      <c r="D59" s="28" t="s">
        <v>80</v>
      </c>
      <c r="E59" s="28" t="s">
        <v>102</v>
      </c>
      <c r="F59" s="28" t="s">
        <v>187</v>
      </c>
      <c r="G59" s="28" t="s">
        <v>121</v>
      </c>
      <c r="H59" s="26">
        <v>945.95</v>
      </c>
      <c r="I59" s="26">
        <v>826.06299999999999</v>
      </c>
      <c r="J59" s="26"/>
      <c r="K59" s="26">
        <v>0</v>
      </c>
      <c r="L59" s="26">
        <f>5135.558+270.294+54.7</f>
        <v>5460.5519999999997</v>
      </c>
      <c r="M59" s="26">
        <f>4972.569+261.715+52.964</f>
        <v>5287.2480000000005</v>
      </c>
      <c r="N59" s="26">
        <v>8265.3889999999992</v>
      </c>
      <c r="O59" s="26">
        <v>4159.4179999999997</v>
      </c>
      <c r="P59" s="32" t="s">
        <v>244</v>
      </c>
      <c r="Q59" s="33"/>
      <c r="R59" s="42" t="e">
        <f t="shared" si="6"/>
        <v>#DIV/0!</v>
      </c>
      <c r="S59" s="42">
        <f t="shared" si="4"/>
        <v>96.826254928073212</v>
      </c>
    </row>
    <row r="60" spans="1:19" s="34" customFormat="1" ht="34.5" customHeight="1" x14ac:dyDescent="0.2">
      <c r="A60" s="128"/>
      <c r="B60" s="128"/>
      <c r="C60" s="121"/>
      <c r="D60" s="28" t="s">
        <v>80</v>
      </c>
      <c r="E60" s="28" t="s">
        <v>102</v>
      </c>
      <c r="F60" s="28" t="s">
        <v>188</v>
      </c>
      <c r="G60" s="28" t="s">
        <v>121</v>
      </c>
      <c r="H60" s="26"/>
      <c r="I60" s="26"/>
      <c r="J60" s="26">
        <v>0</v>
      </c>
      <c r="K60" s="26">
        <v>0</v>
      </c>
      <c r="L60" s="26">
        <v>0</v>
      </c>
      <c r="M60" s="26">
        <v>0</v>
      </c>
      <c r="N60" s="26">
        <v>2634.58</v>
      </c>
      <c r="O60" s="26">
        <v>2706.134</v>
      </c>
      <c r="P60" s="32"/>
      <c r="Q60" s="33"/>
      <c r="R60" s="42" t="e">
        <f t="shared" si="6"/>
        <v>#DIV/0!</v>
      </c>
      <c r="S60" s="42" t="e">
        <f t="shared" si="4"/>
        <v>#DIV/0!</v>
      </c>
    </row>
    <row r="61" spans="1:19" s="34" customFormat="1" ht="30" customHeight="1" x14ac:dyDescent="0.2">
      <c r="A61" s="128"/>
      <c r="B61" s="128"/>
      <c r="C61" s="121"/>
      <c r="D61" s="28" t="s">
        <v>80</v>
      </c>
      <c r="E61" s="28" t="s">
        <v>102</v>
      </c>
      <c r="F61" s="28" t="s">
        <v>185</v>
      </c>
      <c r="G61" s="28" t="s">
        <v>120</v>
      </c>
      <c r="H61" s="26">
        <v>9478.0689999999995</v>
      </c>
      <c r="I61" s="26">
        <v>8361.6949999999997</v>
      </c>
      <c r="J61" s="26">
        <v>15158.877</v>
      </c>
      <c r="K61" s="26">
        <v>15158.877</v>
      </c>
      <c r="L61" s="26">
        <v>25555.870999999999</v>
      </c>
      <c r="M61" s="26">
        <v>24825.294999999998</v>
      </c>
      <c r="N61" s="26">
        <v>29117.212</v>
      </c>
      <c r="O61" s="26">
        <v>29117.212</v>
      </c>
      <c r="P61" s="32" t="s">
        <v>245</v>
      </c>
      <c r="Q61" s="33"/>
      <c r="R61" s="42">
        <f t="shared" si="6"/>
        <v>100</v>
      </c>
      <c r="S61" s="42">
        <f t="shared" si="4"/>
        <v>97.141259634625627</v>
      </c>
    </row>
    <row r="62" spans="1:19" s="34" customFormat="1" ht="25.5" customHeight="1" x14ac:dyDescent="0.2">
      <c r="A62" s="128"/>
      <c r="B62" s="128"/>
      <c r="C62" s="121"/>
      <c r="D62" s="28" t="s">
        <v>80</v>
      </c>
      <c r="E62" s="28" t="s">
        <v>102</v>
      </c>
      <c r="F62" s="28" t="s">
        <v>185</v>
      </c>
      <c r="G62" s="28" t="s">
        <v>122</v>
      </c>
      <c r="H62" s="26">
        <v>833.73099999999999</v>
      </c>
      <c r="I62" s="26">
        <v>655.92700000000002</v>
      </c>
      <c r="J62" s="26">
        <v>1289.127</v>
      </c>
      <c r="K62" s="26">
        <v>1289.127</v>
      </c>
      <c r="L62" s="26">
        <v>2071.7280000000001</v>
      </c>
      <c r="M62" s="26">
        <v>2025.3409999999999</v>
      </c>
      <c r="N62" s="26">
        <v>2404.1880000000001</v>
      </c>
      <c r="O62" s="26">
        <v>2404.1880000000001</v>
      </c>
      <c r="P62" s="32" t="s">
        <v>246</v>
      </c>
      <c r="Q62" s="33"/>
      <c r="R62" s="42">
        <f t="shared" si="6"/>
        <v>100</v>
      </c>
      <c r="S62" s="42">
        <f t="shared" si="4"/>
        <v>97.760951244564922</v>
      </c>
    </row>
    <row r="63" spans="1:19" s="34" customFormat="1" ht="25.5" customHeight="1" x14ac:dyDescent="0.2">
      <c r="A63" s="128"/>
      <c r="B63" s="128"/>
      <c r="C63" s="121"/>
      <c r="D63" s="28" t="s">
        <v>80</v>
      </c>
      <c r="E63" s="28" t="s">
        <v>102</v>
      </c>
      <c r="F63" s="28" t="s">
        <v>163</v>
      </c>
      <c r="G63" s="28" t="s">
        <v>121</v>
      </c>
      <c r="H63" s="26">
        <v>1325.297</v>
      </c>
      <c r="I63" s="26">
        <v>1325.297</v>
      </c>
      <c r="J63" s="26">
        <v>730.35</v>
      </c>
      <c r="K63" s="26">
        <v>0</v>
      </c>
      <c r="L63" s="26">
        <v>730.35</v>
      </c>
      <c r="M63" s="26">
        <v>730.35</v>
      </c>
      <c r="N63" s="26">
        <v>0</v>
      </c>
      <c r="O63" s="26">
        <v>0</v>
      </c>
      <c r="P63" s="32" t="s">
        <v>235</v>
      </c>
      <c r="Q63" s="33"/>
      <c r="R63" s="42">
        <f t="shared" si="6"/>
        <v>0</v>
      </c>
      <c r="S63" s="42">
        <f t="shared" si="4"/>
        <v>100</v>
      </c>
    </row>
    <row r="64" spans="1:19" s="34" customFormat="1" ht="49.5" customHeight="1" x14ac:dyDescent="0.2">
      <c r="A64" s="128"/>
      <c r="B64" s="128"/>
      <c r="C64" s="121"/>
      <c r="D64" s="28" t="s">
        <v>80</v>
      </c>
      <c r="E64" s="28" t="s">
        <v>103</v>
      </c>
      <c r="F64" s="28" t="s">
        <v>219</v>
      </c>
      <c r="G64" s="28" t="s">
        <v>121</v>
      </c>
      <c r="H64" s="26"/>
      <c r="I64" s="26"/>
      <c r="J64" s="26"/>
      <c r="K64" s="26"/>
      <c r="L64" s="26">
        <f>824.9+824</f>
        <v>1648.9</v>
      </c>
      <c r="M64" s="26">
        <v>824</v>
      </c>
      <c r="N64" s="26">
        <v>0</v>
      </c>
      <c r="O64" s="26">
        <v>0</v>
      </c>
      <c r="P64" s="32" t="s">
        <v>260</v>
      </c>
      <c r="Q64" s="33"/>
      <c r="R64" s="42" t="e">
        <f t="shared" si="6"/>
        <v>#DIV/0!</v>
      </c>
      <c r="S64" s="42">
        <f t="shared" si="4"/>
        <v>49.972709078779793</v>
      </c>
    </row>
    <row r="65" spans="1:19" s="34" customFormat="1" ht="43.5" customHeight="1" x14ac:dyDescent="0.2">
      <c r="A65" s="128"/>
      <c r="B65" s="128"/>
      <c r="C65" s="121"/>
      <c r="D65" s="28" t="s">
        <v>80</v>
      </c>
      <c r="E65" s="28" t="s">
        <v>103</v>
      </c>
      <c r="F65" s="28" t="s">
        <v>219</v>
      </c>
      <c r="G65" s="28" t="s">
        <v>123</v>
      </c>
      <c r="H65" s="26"/>
      <c r="I65" s="26"/>
      <c r="J65" s="26"/>
      <c r="K65" s="26"/>
      <c r="L65" s="26">
        <f>14.4+14.4</f>
        <v>28.8</v>
      </c>
      <c r="M65" s="26">
        <v>14.4</v>
      </c>
      <c r="N65" s="26">
        <v>0</v>
      </c>
      <c r="O65" s="26">
        <v>0</v>
      </c>
      <c r="P65" s="32" t="s">
        <v>261</v>
      </c>
      <c r="Q65" s="33"/>
      <c r="R65" s="42" t="e">
        <f t="shared" si="6"/>
        <v>#DIV/0!</v>
      </c>
      <c r="S65" s="42">
        <f t="shared" si="4"/>
        <v>50</v>
      </c>
    </row>
    <row r="66" spans="1:19" s="34" customFormat="1" ht="45" customHeight="1" x14ac:dyDescent="0.2">
      <c r="A66" s="128"/>
      <c r="B66" s="128"/>
      <c r="C66" s="121"/>
      <c r="D66" s="28" t="s">
        <v>80</v>
      </c>
      <c r="E66" s="28" t="s">
        <v>103</v>
      </c>
      <c r="F66" s="28" t="s">
        <v>167</v>
      </c>
      <c r="G66" s="28" t="s">
        <v>120</v>
      </c>
      <c r="H66" s="26"/>
      <c r="I66" s="26"/>
      <c r="J66" s="26">
        <v>2485.056</v>
      </c>
      <c r="K66" s="26">
        <v>2485.056</v>
      </c>
      <c r="L66" s="26">
        <v>8913.4560000000001</v>
      </c>
      <c r="M66" s="26">
        <v>6059.0360000000001</v>
      </c>
      <c r="N66" s="26">
        <v>8908.3529999999992</v>
      </c>
      <c r="O66" s="26">
        <v>8908.3529999999992</v>
      </c>
      <c r="P66" s="32" t="s">
        <v>264</v>
      </c>
      <c r="Q66" s="33"/>
      <c r="R66" s="42">
        <f t="shared" si="6"/>
        <v>100</v>
      </c>
      <c r="S66" s="42">
        <f t="shared" si="4"/>
        <v>67.976282151389995</v>
      </c>
    </row>
    <row r="67" spans="1:19" s="34" customFormat="1" ht="36" customHeight="1" x14ac:dyDescent="0.2">
      <c r="A67" s="128"/>
      <c r="B67" s="128"/>
      <c r="C67" s="120"/>
      <c r="D67" s="28" t="s">
        <v>80</v>
      </c>
      <c r="E67" s="28" t="s">
        <v>103</v>
      </c>
      <c r="F67" s="28" t="s">
        <v>167</v>
      </c>
      <c r="G67" s="28" t="s">
        <v>122</v>
      </c>
      <c r="H67" s="26"/>
      <c r="I67" s="26"/>
      <c r="J67" s="26">
        <v>107.84399999999999</v>
      </c>
      <c r="K67" s="26">
        <v>107.84399999999999</v>
      </c>
      <c r="L67" s="26">
        <v>107.84399999999999</v>
      </c>
      <c r="M67" s="26">
        <v>107.84399999999999</v>
      </c>
      <c r="N67" s="26">
        <v>112.947</v>
      </c>
      <c r="O67" s="26">
        <v>112.947</v>
      </c>
      <c r="P67" s="32" t="s">
        <v>235</v>
      </c>
      <c r="Q67" s="33"/>
      <c r="R67" s="42">
        <f t="shared" si="6"/>
        <v>100</v>
      </c>
      <c r="S67" s="42">
        <f t="shared" si="4"/>
        <v>100</v>
      </c>
    </row>
    <row r="68" spans="1:19" s="39" customFormat="1" ht="25.5" x14ac:dyDescent="0.2">
      <c r="A68" s="128"/>
      <c r="B68" s="128"/>
      <c r="C68" s="40" t="s">
        <v>110</v>
      </c>
      <c r="D68" s="41"/>
      <c r="E68" s="41"/>
      <c r="F68" s="41"/>
      <c r="G68" s="41"/>
      <c r="H68" s="25">
        <f>SUM(H34:H67,0)</f>
        <v>490191.12400000007</v>
      </c>
      <c r="I68" s="25">
        <f t="shared" ref="I68:O68" si="7">SUM(I34:I67,0)</f>
        <v>484842.565</v>
      </c>
      <c r="J68" s="25">
        <f t="shared" si="7"/>
        <v>291798.9879999999</v>
      </c>
      <c r="K68" s="25">
        <f t="shared" si="7"/>
        <v>290895.18399999989</v>
      </c>
      <c r="L68" s="25">
        <f>SUM(L34:L67,0)</f>
        <v>552523.60300000024</v>
      </c>
      <c r="M68" s="25">
        <f t="shared" si="7"/>
        <v>546080.2100000002</v>
      </c>
      <c r="N68" s="25">
        <f t="shared" si="7"/>
        <v>541621.63900000008</v>
      </c>
      <c r="O68" s="25">
        <f t="shared" si="7"/>
        <v>540150.62200000009</v>
      </c>
      <c r="P68" s="68" t="s">
        <v>247</v>
      </c>
      <c r="R68" s="42">
        <f t="shared" si="6"/>
        <v>99.690264861370935</v>
      </c>
      <c r="S68" s="42">
        <f t="shared" si="4"/>
        <v>98.833824842049324</v>
      </c>
    </row>
    <row r="69" spans="1:19" s="39" customFormat="1" x14ac:dyDescent="0.2">
      <c r="A69" s="128"/>
      <c r="B69" s="128"/>
      <c r="C69" s="125" t="s">
        <v>111</v>
      </c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7"/>
      <c r="R69" s="42" t="e">
        <f t="shared" si="6"/>
        <v>#DIV/0!</v>
      </c>
      <c r="S69" s="42" t="e">
        <f t="shared" si="4"/>
        <v>#DIV/0!</v>
      </c>
    </row>
    <row r="70" spans="1:19" s="34" customFormat="1" ht="51" customHeight="1" x14ac:dyDescent="0.2">
      <c r="A70" s="128"/>
      <c r="B70" s="128"/>
      <c r="C70" s="119" t="s">
        <v>77</v>
      </c>
      <c r="D70" s="28" t="s">
        <v>80</v>
      </c>
      <c r="E70" s="28" t="s">
        <v>154</v>
      </c>
      <c r="F70" s="28" t="s">
        <v>140</v>
      </c>
      <c r="G70" s="28" t="s">
        <v>120</v>
      </c>
      <c r="H70" s="26">
        <v>41347.122000000003</v>
      </c>
      <c r="I70" s="26">
        <v>41333.245000000003</v>
      </c>
      <c r="J70" s="26">
        <v>20794.225999999999</v>
      </c>
      <c r="K70" s="26">
        <v>20550.324000000001</v>
      </c>
      <c r="L70" s="26">
        <v>38347.529000000002</v>
      </c>
      <c r="M70" s="26">
        <v>38330.682999999997</v>
      </c>
      <c r="N70" s="26">
        <v>51417.927000000003</v>
      </c>
      <c r="O70" s="26">
        <v>51417.927000000003</v>
      </c>
      <c r="P70" s="32" t="s">
        <v>248</v>
      </c>
      <c r="Q70" s="33"/>
      <c r="R70" s="42">
        <f t="shared" si="6"/>
        <v>98.827068629532064</v>
      </c>
      <c r="S70" s="42">
        <f t="shared" si="4"/>
        <v>99.95607018121035</v>
      </c>
    </row>
    <row r="71" spans="1:19" s="34" customFormat="1" ht="26.25" customHeight="1" x14ac:dyDescent="0.2">
      <c r="A71" s="128"/>
      <c r="B71" s="128"/>
      <c r="C71" s="121"/>
      <c r="D71" s="28" t="s">
        <v>80</v>
      </c>
      <c r="E71" s="28" t="s">
        <v>154</v>
      </c>
      <c r="F71" s="28" t="s">
        <v>147</v>
      </c>
      <c r="G71" s="28" t="s">
        <v>120</v>
      </c>
      <c r="H71" s="26"/>
      <c r="I71" s="26"/>
      <c r="J71" s="26">
        <v>311.65600000000001</v>
      </c>
      <c r="K71" s="26">
        <v>311.65600000000001</v>
      </c>
      <c r="L71" s="26">
        <v>678.92600000000004</v>
      </c>
      <c r="M71" s="26">
        <v>678.92600000000004</v>
      </c>
      <c r="N71" s="26">
        <v>0</v>
      </c>
      <c r="O71" s="26">
        <v>0</v>
      </c>
      <c r="P71" s="32" t="s">
        <v>235</v>
      </c>
      <c r="Q71" s="33"/>
      <c r="R71" s="42">
        <f t="shared" si="6"/>
        <v>100</v>
      </c>
      <c r="S71" s="42">
        <f t="shared" si="4"/>
        <v>100</v>
      </c>
    </row>
    <row r="72" spans="1:19" s="34" customFormat="1" ht="26.25" customHeight="1" x14ac:dyDescent="0.2">
      <c r="A72" s="128"/>
      <c r="B72" s="128"/>
      <c r="C72" s="121"/>
      <c r="D72" s="28" t="s">
        <v>80</v>
      </c>
      <c r="E72" s="28" t="s">
        <v>154</v>
      </c>
      <c r="F72" s="28" t="s">
        <v>201</v>
      </c>
      <c r="G72" s="28" t="s">
        <v>120</v>
      </c>
      <c r="H72" s="26">
        <v>50.325000000000003</v>
      </c>
      <c r="I72" s="26">
        <v>50.325000000000003</v>
      </c>
      <c r="J72" s="26"/>
      <c r="K72" s="26"/>
      <c r="L72" s="26"/>
      <c r="M72" s="26"/>
      <c r="N72" s="26"/>
      <c r="O72" s="26"/>
      <c r="P72" s="32"/>
      <c r="Q72" s="33"/>
      <c r="R72" s="42" t="e">
        <f t="shared" si="6"/>
        <v>#DIV/0!</v>
      </c>
      <c r="S72" s="42" t="e">
        <f t="shared" si="4"/>
        <v>#DIV/0!</v>
      </c>
    </row>
    <row r="73" spans="1:19" s="34" customFormat="1" ht="22.5" customHeight="1" x14ac:dyDescent="0.2">
      <c r="A73" s="128"/>
      <c r="B73" s="128"/>
      <c r="C73" s="121"/>
      <c r="D73" s="28" t="s">
        <v>80</v>
      </c>
      <c r="E73" s="28" t="s">
        <v>154</v>
      </c>
      <c r="F73" s="28" t="s">
        <v>189</v>
      </c>
      <c r="G73" s="28" t="s">
        <v>120</v>
      </c>
      <c r="H73" s="26">
        <v>345.24700000000001</v>
      </c>
      <c r="I73" s="26">
        <v>345.24700000000001</v>
      </c>
      <c r="J73" s="26"/>
      <c r="K73" s="26"/>
      <c r="L73" s="26"/>
      <c r="M73" s="26"/>
      <c r="N73" s="26"/>
      <c r="O73" s="26"/>
      <c r="P73" s="32"/>
      <c r="Q73" s="33"/>
      <c r="R73" s="42" t="e">
        <f t="shared" si="6"/>
        <v>#DIV/0!</v>
      </c>
      <c r="S73" s="42" t="e">
        <f t="shared" si="4"/>
        <v>#DIV/0!</v>
      </c>
    </row>
    <row r="74" spans="1:19" s="34" customFormat="1" ht="20.25" customHeight="1" x14ac:dyDescent="0.2">
      <c r="A74" s="128"/>
      <c r="B74" s="128"/>
      <c r="C74" s="121"/>
      <c r="D74" s="28" t="s">
        <v>80</v>
      </c>
      <c r="E74" s="28" t="s">
        <v>154</v>
      </c>
      <c r="F74" s="28" t="s">
        <v>168</v>
      </c>
      <c r="G74" s="28" t="s">
        <v>120</v>
      </c>
      <c r="H74" s="26">
        <v>2434.9</v>
      </c>
      <c r="I74" s="26">
        <v>2434.9</v>
      </c>
      <c r="J74" s="26"/>
      <c r="K74" s="26"/>
      <c r="L74" s="26"/>
      <c r="M74" s="26"/>
      <c r="N74" s="26"/>
      <c r="O74" s="26"/>
      <c r="P74" s="32"/>
      <c r="Q74" s="33"/>
      <c r="R74" s="42" t="e">
        <f t="shared" si="6"/>
        <v>#DIV/0!</v>
      </c>
      <c r="S74" s="42" t="e">
        <f t="shared" si="4"/>
        <v>#DIV/0!</v>
      </c>
    </row>
    <row r="75" spans="1:19" s="34" customFormat="1" ht="25.5" x14ac:dyDescent="0.2">
      <c r="A75" s="128"/>
      <c r="B75" s="128"/>
      <c r="C75" s="121"/>
      <c r="D75" s="28" t="s">
        <v>80</v>
      </c>
      <c r="E75" s="28" t="s">
        <v>154</v>
      </c>
      <c r="F75" s="28" t="s">
        <v>218</v>
      </c>
      <c r="G75" s="28" t="s">
        <v>120</v>
      </c>
      <c r="H75" s="26">
        <v>0</v>
      </c>
      <c r="I75" s="26">
        <v>0</v>
      </c>
      <c r="J75" s="26">
        <v>913.26</v>
      </c>
      <c r="K75" s="26">
        <v>913.26</v>
      </c>
      <c r="L75" s="26">
        <v>2558.9</v>
      </c>
      <c r="M75" s="26">
        <v>2558.6</v>
      </c>
      <c r="N75" s="26">
        <v>0</v>
      </c>
      <c r="O75" s="26">
        <v>0</v>
      </c>
      <c r="P75" s="32" t="s">
        <v>241</v>
      </c>
      <c r="Q75" s="33"/>
      <c r="R75" s="42">
        <f t="shared" si="6"/>
        <v>100</v>
      </c>
      <c r="S75" s="42">
        <f t="shared" si="4"/>
        <v>99.988276212435025</v>
      </c>
    </row>
    <row r="76" spans="1:19" s="34" customFormat="1" ht="25.5" customHeight="1" x14ac:dyDescent="0.2">
      <c r="A76" s="128"/>
      <c r="B76" s="128"/>
      <c r="C76" s="121"/>
      <c r="D76" s="28" t="s">
        <v>80</v>
      </c>
      <c r="E76" s="28" t="s">
        <v>154</v>
      </c>
      <c r="F76" s="28" t="s">
        <v>184</v>
      </c>
      <c r="G76" s="28" t="s">
        <v>120</v>
      </c>
      <c r="H76" s="26">
        <v>1144.423</v>
      </c>
      <c r="I76" s="26">
        <v>977.53800000000001</v>
      </c>
      <c r="J76" s="26"/>
      <c r="K76" s="26"/>
      <c r="L76" s="26"/>
      <c r="M76" s="26"/>
      <c r="N76" s="26"/>
      <c r="O76" s="26"/>
      <c r="P76" s="32"/>
      <c r="Q76" s="33"/>
      <c r="R76" s="42" t="e">
        <f t="shared" si="6"/>
        <v>#DIV/0!</v>
      </c>
      <c r="S76" s="42" t="e">
        <f t="shared" si="4"/>
        <v>#DIV/0!</v>
      </c>
    </row>
    <row r="77" spans="1:19" s="34" customFormat="1" ht="23.25" customHeight="1" x14ac:dyDescent="0.2">
      <c r="A77" s="128"/>
      <c r="B77" s="128"/>
      <c r="C77" s="121"/>
      <c r="D77" s="28" t="s">
        <v>80</v>
      </c>
      <c r="E77" s="28" t="s">
        <v>154</v>
      </c>
      <c r="F77" s="28" t="s">
        <v>190</v>
      </c>
      <c r="G77" s="28" t="s">
        <v>120</v>
      </c>
      <c r="H77" s="26">
        <v>2340.2440000000001</v>
      </c>
      <c r="I77" s="26">
        <v>2340.2440000000001</v>
      </c>
      <c r="J77" s="26">
        <v>5311.7969999999996</v>
      </c>
      <c r="K77" s="26">
        <v>5311.7969999999996</v>
      </c>
      <c r="L77" s="26">
        <v>12072</v>
      </c>
      <c r="M77" s="26">
        <v>12071.6</v>
      </c>
      <c r="N77" s="26">
        <v>0</v>
      </c>
      <c r="O77" s="26">
        <v>0</v>
      </c>
      <c r="P77" s="32" t="s">
        <v>235</v>
      </c>
      <c r="Q77" s="33"/>
      <c r="R77" s="42">
        <f t="shared" ref="R77:R140" si="8">K77/J77*100</f>
        <v>100</v>
      </c>
      <c r="S77" s="42">
        <f t="shared" si="4"/>
        <v>99.996686547382367</v>
      </c>
    </row>
    <row r="78" spans="1:19" s="34" customFormat="1" ht="23.25" customHeight="1" x14ac:dyDescent="0.2">
      <c r="A78" s="128"/>
      <c r="B78" s="128"/>
      <c r="C78" s="121"/>
      <c r="D78" s="28" t="s">
        <v>80</v>
      </c>
      <c r="E78" s="28" t="s">
        <v>154</v>
      </c>
      <c r="F78" s="28" t="s">
        <v>190</v>
      </c>
      <c r="G78" s="28" t="s">
        <v>121</v>
      </c>
      <c r="H78" s="26"/>
      <c r="I78" s="26"/>
      <c r="J78" s="26"/>
      <c r="K78" s="26"/>
      <c r="L78" s="26">
        <v>820</v>
      </c>
      <c r="M78" s="26">
        <v>820</v>
      </c>
      <c r="N78" s="26"/>
      <c r="O78" s="26"/>
      <c r="P78" s="32" t="s">
        <v>235</v>
      </c>
      <c r="Q78" s="33"/>
      <c r="R78" s="42"/>
      <c r="S78" s="42">
        <f t="shared" si="4"/>
        <v>100</v>
      </c>
    </row>
    <row r="79" spans="1:19" s="34" customFormat="1" ht="23.25" customHeight="1" x14ac:dyDescent="0.2">
      <c r="A79" s="128"/>
      <c r="B79" s="128"/>
      <c r="C79" s="121"/>
      <c r="D79" s="28" t="s">
        <v>80</v>
      </c>
      <c r="E79" s="28" t="s">
        <v>154</v>
      </c>
      <c r="F79" s="28" t="s">
        <v>190</v>
      </c>
      <c r="G79" s="28" t="s">
        <v>191</v>
      </c>
      <c r="H79" s="26">
        <v>13.5</v>
      </c>
      <c r="I79" s="26"/>
      <c r="J79" s="26">
        <v>0</v>
      </c>
      <c r="K79" s="26">
        <v>0</v>
      </c>
      <c r="L79" s="26"/>
      <c r="M79" s="26"/>
      <c r="N79" s="26">
        <v>0</v>
      </c>
      <c r="O79" s="26">
        <v>0</v>
      </c>
      <c r="P79" s="32"/>
      <c r="Q79" s="33"/>
      <c r="R79" s="42" t="e">
        <f t="shared" si="8"/>
        <v>#DIV/0!</v>
      </c>
      <c r="S79" s="42" t="e">
        <f t="shared" si="4"/>
        <v>#DIV/0!</v>
      </c>
    </row>
    <row r="80" spans="1:19" s="34" customFormat="1" ht="23.25" customHeight="1" x14ac:dyDescent="0.2">
      <c r="A80" s="128"/>
      <c r="B80" s="128"/>
      <c r="C80" s="121"/>
      <c r="D80" s="28" t="s">
        <v>80</v>
      </c>
      <c r="E80" s="28" t="s">
        <v>154</v>
      </c>
      <c r="F80" s="28" t="s">
        <v>190</v>
      </c>
      <c r="G80" s="28" t="s">
        <v>192</v>
      </c>
      <c r="H80" s="26">
        <v>13.5</v>
      </c>
      <c r="I80" s="26"/>
      <c r="J80" s="26">
        <v>0</v>
      </c>
      <c r="K80" s="26">
        <v>0</v>
      </c>
      <c r="L80" s="26"/>
      <c r="M80" s="26"/>
      <c r="N80" s="26">
        <v>0</v>
      </c>
      <c r="O80" s="26">
        <v>0</v>
      </c>
      <c r="P80" s="32"/>
      <c r="Q80" s="33"/>
      <c r="R80" s="42" t="e">
        <f t="shared" si="8"/>
        <v>#DIV/0!</v>
      </c>
      <c r="S80" s="42" t="e">
        <f t="shared" si="4"/>
        <v>#DIV/0!</v>
      </c>
    </row>
    <row r="81" spans="1:19" s="34" customFormat="1" ht="25.5" customHeight="1" x14ac:dyDescent="0.2">
      <c r="A81" s="128"/>
      <c r="B81" s="128"/>
      <c r="C81" s="121"/>
      <c r="D81" s="28" t="s">
        <v>80</v>
      </c>
      <c r="E81" s="28" t="s">
        <v>154</v>
      </c>
      <c r="F81" s="28" t="s">
        <v>190</v>
      </c>
      <c r="G81" s="28" t="s">
        <v>193</v>
      </c>
      <c r="H81" s="26">
        <v>13.5</v>
      </c>
      <c r="I81" s="26"/>
      <c r="J81" s="26">
        <v>0</v>
      </c>
      <c r="K81" s="26">
        <v>0</v>
      </c>
      <c r="L81" s="26"/>
      <c r="M81" s="26"/>
      <c r="N81" s="26">
        <v>0</v>
      </c>
      <c r="O81" s="26">
        <v>0</v>
      </c>
      <c r="P81" s="32"/>
      <c r="Q81" s="33"/>
      <c r="R81" s="42" t="e">
        <f t="shared" si="8"/>
        <v>#DIV/0!</v>
      </c>
      <c r="S81" s="42" t="e">
        <f t="shared" si="4"/>
        <v>#DIV/0!</v>
      </c>
    </row>
    <row r="82" spans="1:19" s="34" customFormat="1" ht="25.5" customHeight="1" x14ac:dyDescent="0.2">
      <c r="A82" s="128"/>
      <c r="B82" s="128"/>
      <c r="C82" s="121"/>
      <c r="D82" s="28" t="s">
        <v>80</v>
      </c>
      <c r="E82" s="28" t="s">
        <v>154</v>
      </c>
      <c r="F82" s="28" t="s">
        <v>190</v>
      </c>
      <c r="G82" s="28" t="s">
        <v>194</v>
      </c>
      <c r="H82" s="26">
        <v>8.7560000000000002</v>
      </c>
      <c r="I82" s="26"/>
      <c r="J82" s="26">
        <v>0</v>
      </c>
      <c r="K82" s="26">
        <v>0</v>
      </c>
      <c r="L82" s="26"/>
      <c r="M82" s="26"/>
      <c r="N82" s="26">
        <v>0</v>
      </c>
      <c r="O82" s="26">
        <v>0</v>
      </c>
      <c r="P82" s="32"/>
      <c r="Q82" s="33"/>
      <c r="R82" s="42" t="e">
        <f t="shared" si="8"/>
        <v>#DIV/0!</v>
      </c>
      <c r="S82" s="42" t="e">
        <f t="shared" si="4"/>
        <v>#DIV/0!</v>
      </c>
    </row>
    <row r="83" spans="1:19" s="34" customFormat="1" ht="25.5" x14ac:dyDescent="0.2">
      <c r="A83" s="128"/>
      <c r="B83" s="128"/>
      <c r="C83" s="121"/>
      <c r="D83" s="28" t="s">
        <v>80</v>
      </c>
      <c r="E83" s="28" t="s">
        <v>154</v>
      </c>
      <c r="F83" s="28" t="s">
        <v>143</v>
      </c>
      <c r="G83" s="28" t="s">
        <v>121</v>
      </c>
      <c r="H83" s="26">
        <v>5.4130000000000003</v>
      </c>
      <c r="I83" s="26">
        <v>4.4269999999999996</v>
      </c>
      <c r="J83" s="26">
        <v>2.2999999999999998</v>
      </c>
      <c r="K83" s="26">
        <v>2.2999999999999998</v>
      </c>
      <c r="L83" s="26">
        <v>5</v>
      </c>
      <c r="M83" s="26">
        <v>5</v>
      </c>
      <c r="N83" s="26">
        <v>4.9400000000000004</v>
      </c>
      <c r="O83" s="26">
        <v>4.9400000000000004</v>
      </c>
      <c r="P83" s="32" t="s">
        <v>235</v>
      </c>
      <c r="Q83" s="33"/>
      <c r="R83" s="42">
        <f t="shared" si="8"/>
        <v>100</v>
      </c>
      <c r="S83" s="42">
        <f t="shared" si="4"/>
        <v>100</v>
      </c>
    </row>
    <row r="84" spans="1:19" s="34" customFormat="1" ht="25.5" x14ac:dyDescent="0.2">
      <c r="A84" s="128"/>
      <c r="B84" s="128"/>
      <c r="C84" s="121"/>
      <c r="D84" s="28" t="s">
        <v>80</v>
      </c>
      <c r="E84" s="28" t="s">
        <v>154</v>
      </c>
      <c r="F84" s="28" t="s">
        <v>146</v>
      </c>
      <c r="G84" s="28" t="s">
        <v>121</v>
      </c>
      <c r="H84" s="26">
        <v>2120.8009999999999</v>
      </c>
      <c r="I84" s="26">
        <v>2118.4969999999998</v>
      </c>
      <c r="J84" s="26">
        <v>438.79899999999998</v>
      </c>
      <c r="K84" s="26">
        <v>438.40600000000001</v>
      </c>
      <c r="L84" s="26">
        <v>741.99900000000002</v>
      </c>
      <c r="M84" s="26">
        <v>741.60599999999999</v>
      </c>
      <c r="N84" s="26">
        <v>0</v>
      </c>
      <c r="O84" s="26">
        <v>0</v>
      </c>
      <c r="P84" s="32" t="s">
        <v>250</v>
      </c>
      <c r="Q84" s="33"/>
      <c r="R84" s="42">
        <f t="shared" si="8"/>
        <v>99.910437352865443</v>
      </c>
      <c r="S84" s="42">
        <f t="shared" si="4"/>
        <v>99.947034969049824</v>
      </c>
    </row>
    <row r="85" spans="1:19" s="34" customFormat="1" ht="44.25" customHeight="1" x14ac:dyDescent="0.2">
      <c r="A85" s="128"/>
      <c r="B85" s="128"/>
      <c r="C85" s="120"/>
      <c r="D85" s="28" t="s">
        <v>80</v>
      </c>
      <c r="E85" s="28" t="s">
        <v>154</v>
      </c>
      <c r="F85" s="28" t="s">
        <v>166</v>
      </c>
      <c r="G85" s="28" t="s">
        <v>121</v>
      </c>
      <c r="H85" s="26">
        <v>7622.25</v>
      </c>
      <c r="I85" s="26">
        <v>7622.25</v>
      </c>
      <c r="J85" s="26"/>
      <c r="K85" s="26">
        <v>0</v>
      </c>
      <c r="L85" s="26">
        <f>4000+46.5</f>
        <v>4046.5</v>
      </c>
      <c r="M85" s="26">
        <f>3438.734+41</f>
        <v>3479.7339999999999</v>
      </c>
      <c r="N85" s="26">
        <v>0</v>
      </c>
      <c r="O85" s="26">
        <v>0</v>
      </c>
      <c r="P85" s="32" t="s">
        <v>265</v>
      </c>
      <c r="Q85" s="33"/>
      <c r="R85" s="42" t="e">
        <f t="shared" si="8"/>
        <v>#DIV/0!</v>
      </c>
      <c r="S85" s="42">
        <f t="shared" ref="S85:S148" si="9">M85/L85*100</f>
        <v>85.993673545038916</v>
      </c>
    </row>
    <row r="86" spans="1:19" s="39" customFormat="1" ht="25.5" x14ac:dyDescent="0.2">
      <c r="A86" s="128"/>
      <c r="B86" s="128"/>
      <c r="C86" s="40" t="s">
        <v>112</v>
      </c>
      <c r="D86" s="41"/>
      <c r="E86" s="41"/>
      <c r="F86" s="41"/>
      <c r="G86" s="41"/>
      <c r="H86" s="25">
        <f>SUM(H70:H85)</f>
        <v>57459.981000000007</v>
      </c>
      <c r="I86" s="25">
        <f t="shared" ref="I86:O86" si="10">SUM(I70:I85)</f>
        <v>57226.67300000001</v>
      </c>
      <c r="J86" s="25">
        <f>SUM(J70:J85)</f>
        <v>27772.037999999993</v>
      </c>
      <c r="K86" s="25">
        <f>SUM(K70:K85)</f>
        <v>27527.742999999995</v>
      </c>
      <c r="L86" s="25">
        <f>SUM(L70:L85)</f>
        <v>59270.854000000007</v>
      </c>
      <c r="M86" s="25">
        <f t="shared" si="10"/>
        <v>58686.14899999999</v>
      </c>
      <c r="N86" s="25">
        <f t="shared" si="10"/>
        <v>51422.867000000006</v>
      </c>
      <c r="O86" s="25">
        <f t="shared" si="10"/>
        <v>51422.867000000006</v>
      </c>
      <c r="P86" s="68" t="s">
        <v>249</v>
      </c>
      <c r="R86" s="42">
        <f t="shared" si="8"/>
        <v>99.120356237450054</v>
      </c>
      <c r="S86" s="42">
        <f t="shared" si="9"/>
        <v>99.013503331671217</v>
      </c>
    </row>
    <row r="87" spans="1:19" s="39" customFormat="1" x14ac:dyDescent="0.2">
      <c r="A87" s="128"/>
      <c r="B87" s="128"/>
      <c r="C87" s="125" t="s">
        <v>113</v>
      </c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7"/>
      <c r="R87" s="42" t="e">
        <f t="shared" si="8"/>
        <v>#DIV/0!</v>
      </c>
      <c r="S87" s="42" t="e">
        <f t="shared" si="9"/>
        <v>#DIV/0!</v>
      </c>
    </row>
    <row r="88" spans="1:19" s="34" customFormat="1" ht="51" customHeight="1" x14ac:dyDescent="0.2">
      <c r="A88" s="128"/>
      <c r="B88" s="128"/>
      <c r="C88" s="119" t="s">
        <v>77</v>
      </c>
      <c r="D88" s="28" t="s">
        <v>80</v>
      </c>
      <c r="E88" s="28" t="s">
        <v>84</v>
      </c>
      <c r="F88" s="28" t="s">
        <v>141</v>
      </c>
      <c r="G88" s="28" t="s">
        <v>121</v>
      </c>
      <c r="H88" s="26">
        <v>574</v>
      </c>
      <c r="I88" s="26">
        <v>574</v>
      </c>
      <c r="J88" s="26">
        <v>175.31</v>
      </c>
      <c r="K88" s="26">
        <v>175.31</v>
      </c>
      <c r="L88" s="26">
        <v>575</v>
      </c>
      <c r="M88" s="26">
        <v>575</v>
      </c>
      <c r="N88" s="26">
        <v>600</v>
      </c>
      <c r="O88" s="26">
        <v>600</v>
      </c>
      <c r="P88" s="32" t="s">
        <v>235</v>
      </c>
      <c r="R88" s="42">
        <f t="shared" si="8"/>
        <v>100</v>
      </c>
      <c r="S88" s="42">
        <f t="shared" si="9"/>
        <v>100</v>
      </c>
    </row>
    <row r="89" spans="1:19" s="34" customFormat="1" ht="25.5" x14ac:dyDescent="0.2">
      <c r="A89" s="128"/>
      <c r="B89" s="128"/>
      <c r="C89" s="120"/>
      <c r="D89" s="28" t="s">
        <v>80</v>
      </c>
      <c r="E89" s="28" t="s">
        <v>84</v>
      </c>
      <c r="F89" s="28" t="s">
        <v>141</v>
      </c>
      <c r="G89" s="28" t="s">
        <v>123</v>
      </c>
      <c r="H89" s="26">
        <v>26</v>
      </c>
      <c r="I89" s="26">
        <v>26</v>
      </c>
      <c r="J89" s="26"/>
      <c r="K89" s="26">
        <v>0</v>
      </c>
      <c r="L89" s="26">
        <v>25</v>
      </c>
      <c r="M89" s="26">
        <v>25</v>
      </c>
      <c r="N89" s="26">
        <v>0</v>
      </c>
      <c r="O89" s="26">
        <v>0</v>
      </c>
      <c r="P89" s="32" t="s">
        <v>235</v>
      </c>
      <c r="R89" s="42" t="e">
        <f t="shared" si="8"/>
        <v>#DIV/0!</v>
      </c>
      <c r="S89" s="42">
        <f t="shared" si="9"/>
        <v>100</v>
      </c>
    </row>
    <row r="90" spans="1:19" s="39" customFormat="1" ht="25.5" x14ac:dyDescent="0.2">
      <c r="A90" s="128"/>
      <c r="B90" s="128"/>
      <c r="C90" s="40" t="s">
        <v>114</v>
      </c>
      <c r="D90" s="41"/>
      <c r="E90" s="41"/>
      <c r="F90" s="41"/>
      <c r="G90" s="41"/>
      <c r="H90" s="25">
        <f>H88+H89</f>
        <v>600</v>
      </c>
      <c r="I90" s="25">
        <f t="shared" ref="I90:O90" si="11">I88+I89</f>
        <v>600</v>
      </c>
      <c r="J90" s="25">
        <f t="shared" si="11"/>
        <v>175.31</v>
      </c>
      <c r="K90" s="25">
        <f t="shared" si="11"/>
        <v>175.31</v>
      </c>
      <c r="L90" s="25">
        <f t="shared" si="11"/>
        <v>600</v>
      </c>
      <c r="M90" s="25">
        <f t="shared" si="11"/>
        <v>600</v>
      </c>
      <c r="N90" s="25">
        <f t="shared" si="11"/>
        <v>600</v>
      </c>
      <c r="O90" s="25">
        <f t="shared" si="11"/>
        <v>600</v>
      </c>
      <c r="P90" s="68" t="s">
        <v>235</v>
      </c>
      <c r="R90" s="42">
        <f t="shared" si="8"/>
        <v>100</v>
      </c>
      <c r="S90" s="42">
        <f t="shared" si="9"/>
        <v>100</v>
      </c>
    </row>
    <row r="91" spans="1:19" s="39" customFormat="1" x14ac:dyDescent="0.2">
      <c r="A91" s="128"/>
      <c r="B91" s="128"/>
      <c r="C91" s="125" t="s">
        <v>115</v>
      </c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7"/>
      <c r="R91" s="42" t="e">
        <f t="shared" si="8"/>
        <v>#DIV/0!</v>
      </c>
      <c r="S91" s="42" t="e">
        <f t="shared" si="9"/>
        <v>#DIV/0!</v>
      </c>
    </row>
    <row r="92" spans="1:19" s="34" customFormat="1" ht="25.5" hidden="1" customHeight="1" x14ac:dyDescent="0.2">
      <c r="A92" s="128"/>
      <c r="B92" s="128"/>
      <c r="C92" s="31" t="s">
        <v>77</v>
      </c>
      <c r="D92" s="28" t="s">
        <v>80</v>
      </c>
      <c r="E92" s="28" t="s">
        <v>103</v>
      </c>
      <c r="F92" s="28" t="s">
        <v>104</v>
      </c>
      <c r="G92" s="28" t="s">
        <v>121</v>
      </c>
      <c r="H92" s="26"/>
      <c r="I92" s="26"/>
      <c r="J92" s="26"/>
      <c r="K92" s="26"/>
      <c r="L92" s="26"/>
      <c r="M92" s="26"/>
      <c r="N92" s="26"/>
      <c r="O92" s="26"/>
      <c r="P92" s="32"/>
      <c r="R92" s="42" t="e">
        <f t="shared" si="8"/>
        <v>#DIV/0!</v>
      </c>
      <c r="S92" s="42" t="e">
        <f t="shared" si="9"/>
        <v>#DIV/0!</v>
      </c>
    </row>
    <row r="93" spans="1:19" s="34" customFormat="1" ht="25.5" hidden="1" customHeight="1" x14ac:dyDescent="0.2">
      <c r="A93" s="128"/>
      <c r="B93" s="128"/>
      <c r="C93" s="31" t="s">
        <v>77</v>
      </c>
      <c r="D93" s="28" t="s">
        <v>80</v>
      </c>
      <c r="E93" s="28" t="s">
        <v>103</v>
      </c>
      <c r="F93" s="28" t="s">
        <v>104</v>
      </c>
      <c r="G93" s="28" t="s">
        <v>123</v>
      </c>
      <c r="H93" s="26"/>
      <c r="I93" s="26"/>
      <c r="J93" s="26"/>
      <c r="K93" s="26"/>
      <c r="L93" s="26"/>
      <c r="M93" s="26"/>
      <c r="N93" s="26"/>
      <c r="O93" s="26"/>
      <c r="P93" s="32"/>
      <c r="R93" s="42" t="e">
        <f t="shared" si="8"/>
        <v>#DIV/0!</v>
      </c>
      <c r="S93" s="42" t="e">
        <f t="shared" si="9"/>
        <v>#DIV/0!</v>
      </c>
    </row>
    <row r="94" spans="1:19" s="34" customFormat="1" ht="25.5" hidden="1" customHeight="1" x14ac:dyDescent="0.2">
      <c r="A94" s="128"/>
      <c r="B94" s="128"/>
      <c r="C94" s="31" t="s">
        <v>77</v>
      </c>
      <c r="D94" s="28" t="s">
        <v>80</v>
      </c>
      <c r="E94" s="28" t="s">
        <v>103</v>
      </c>
      <c r="F94" s="28" t="s">
        <v>105</v>
      </c>
      <c r="G94" s="28" t="s">
        <v>121</v>
      </c>
      <c r="H94" s="26"/>
      <c r="I94" s="26"/>
      <c r="J94" s="26"/>
      <c r="K94" s="26"/>
      <c r="L94" s="26"/>
      <c r="M94" s="26"/>
      <c r="N94" s="26"/>
      <c r="O94" s="26"/>
      <c r="P94" s="32"/>
      <c r="R94" s="42" t="e">
        <f t="shared" si="8"/>
        <v>#DIV/0!</v>
      </c>
      <c r="S94" s="42" t="e">
        <f t="shared" si="9"/>
        <v>#DIV/0!</v>
      </c>
    </row>
    <row r="95" spans="1:19" s="34" customFormat="1" ht="25.5" hidden="1" customHeight="1" x14ac:dyDescent="0.2">
      <c r="A95" s="128"/>
      <c r="B95" s="128"/>
      <c r="C95" s="31" t="s">
        <v>77</v>
      </c>
      <c r="D95" s="28" t="s">
        <v>80</v>
      </c>
      <c r="E95" s="28" t="s">
        <v>103</v>
      </c>
      <c r="F95" s="28" t="s">
        <v>105</v>
      </c>
      <c r="G95" s="28" t="s">
        <v>123</v>
      </c>
      <c r="H95" s="26"/>
      <c r="I95" s="26"/>
      <c r="J95" s="26"/>
      <c r="K95" s="26"/>
      <c r="L95" s="26"/>
      <c r="M95" s="26"/>
      <c r="N95" s="26"/>
      <c r="O95" s="26"/>
      <c r="P95" s="32"/>
      <c r="R95" s="42" t="e">
        <f t="shared" si="8"/>
        <v>#DIV/0!</v>
      </c>
      <c r="S95" s="42" t="e">
        <f t="shared" si="9"/>
        <v>#DIV/0!</v>
      </c>
    </row>
    <row r="96" spans="1:19" s="34" customFormat="1" ht="25.5" hidden="1" customHeight="1" x14ac:dyDescent="0.2">
      <c r="A96" s="128"/>
      <c r="B96" s="128"/>
      <c r="C96" s="31" t="s">
        <v>77</v>
      </c>
      <c r="D96" s="28" t="s">
        <v>80</v>
      </c>
      <c r="E96" s="28" t="s">
        <v>103</v>
      </c>
      <c r="F96" s="28" t="s">
        <v>106</v>
      </c>
      <c r="G96" s="28" t="s">
        <v>120</v>
      </c>
      <c r="H96" s="26"/>
      <c r="I96" s="26"/>
      <c r="J96" s="26"/>
      <c r="K96" s="26"/>
      <c r="L96" s="26"/>
      <c r="M96" s="26"/>
      <c r="N96" s="26"/>
      <c r="O96" s="26"/>
      <c r="P96" s="32"/>
      <c r="R96" s="42" t="e">
        <f t="shared" si="8"/>
        <v>#DIV/0!</v>
      </c>
      <c r="S96" s="42" t="e">
        <f t="shared" si="9"/>
        <v>#DIV/0!</v>
      </c>
    </row>
    <row r="97" spans="1:19" s="34" customFormat="1" ht="25.5" hidden="1" customHeight="1" x14ac:dyDescent="0.2">
      <c r="A97" s="128"/>
      <c r="B97" s="128"/>
      <c r="C97" s="31" t="s">
        <v>77</v>
      </c>
      <c r="D97" s="28" t="s">
        <v>80</v>
      </c>
      <c r="E97" s="28" t="s">
        <v>103</v>
      </c>
      <c r="F97" s="28" t="s">
        <v>106</v>
      </c>
      <c r="G97" s="28" t="s">
        <v>121</v>
      </c>
      <c r="H97" s="26"/>
      <c r="I97" s="26"/>
      <c r="J97" s="26"/>
      <c r="K97" s="26"/>
      <c r="L97" s="26"/>
      <c r="M97" s="26"/>
      <c r="N97" s="26"/>
      <c r="O97" s="26"/>
      <c r="P97" s="32"/>
      <c r="R97" s="42" t="e">
        <f t="shared" si="8"/>
        <v>#DIV/0!</v>
      </c>
      <c r="S97" s="42" t="e">
        <f t="shared" si="9"/>
        <v>#DIV/0!</v>
      </c>
    </row>
    <row r="98" spans="1:19" s="34" customFormat="1" ht="25.5" hidden="1" customHeight="1" x14ac:dyDescent="0.2">
      <c r="A98" s="128"/>
      <c r="B98" s="128"/>
      <c r="C98" s="31" t="s">
        <v>77</v>
      </c>
      <c r="D98" s="28" t="s">
        <v>80</v>
      </c>
      <c r="E98" s="28" t="s">
        <v>103</v>
      </c>
      <c r="F98" s="28" t="s">
        <v>107</v>
      </c>
      <c r="G98" s="28" t="s">
        <v>120</v>
      </c>
      <c r="H98" s="26"/>
      <c r="I98" s="26"/>
      <c r="J98" s="26"/>
      <c r="K98" s="26"/>
      <c r="L98" s="26"/>
      <c r="M98" s="26"/>
      <c r="N98" s="26"/>
      <c r="O98" s="26"/>
      <c r="P98" s="32"/>
      <c r="R98" s="42" t="e">
        <f t="shared" si="8"/>
        <v>#DIV/0!</v>
      </c>
      <c r="S98" s="42" t="e">
        <f t="shared" si="9"/>
        <v>#DIV/0!</v>
      </c>
    </row>
    <row r="99" spans="1:19" s="34" customFormat="1" ht="51" customHeight="1" x14ac:dyDescent="0.2">
      <c r="A99" s="128"/>
      <c r="B99" s="128"/>
      <c r="C99" s="119" t="s">
        <v>77</v>
      </c>
      <c r="D99" s="28" t="s">
        <v>80</v>
      </c>
      <c r="E99" s="28" t="s">
        <v>103</v>
      </c>
      <c r="F99" s="28" t="s">
        <v>142</v>
      </c>
      <c r="G99" s="28" t="s">
        <v>121</v>
      </c>
      <c r="H99" s="26">
        <v>490</v>
      </c>
      <c r="I99" s="26">
        <v>490</v>
      </c>
      <c r="J99" s="26">
        <v>490</v>
      </c>
      <c r="K99" s="26">
        <v>490</v>
      </c>
      <c r="L99" s="26">
        <v>490</v>
      </c>
      <c r="M99" s="26">
        <v>490</v>
      </c>
      <c r="N99" s="26">
        <v>490</v>
      </c>
      <c r="O99" s="26">
        <v>490</v>
      </c>
      <c r="P99" s="32" t="s">
        <v>235</v>
      </c>
      <c r="R99" s="42">
        <f t="shared" si="8"/>
        <v>100</v>
      </c>
      <c r="S99" s="42">
        <f t="shared" si="9"/>
        <v>100</v>
      </c>
    </row>
    <row r="100" spans="1:19" s="34" customFormat="1" ht="62.25" customHeight="1" x14ac:dyDescent="0.2">
      <c r="A100" s="128"/>
      <c r="B100" s="128"/>
      <c r="C100" s="121"/>
      <c r="D100" s="28" t="s">
        <v>80</v>
      </c>
      <c r="E100" s="28" t="s">
        <v>103</v>
      </c>
      <c r="F100" s="28" t="s">
        <v>169</v>
      </c>
      <c r="G100" s="28" t="s">
        <v>121</v>
      </c>
      <c r="H100" s="26">
        <v>9.6850000000000005</v>
      </c>
      <c r="I100" s="26">
        <v>9.6850000000000005</v>
      </c>
      <c r="J100" s="26">
        <v>0.36799999999999999</v>
      </c>
      <c r="K100" s="26">
        <v>0.36799999999999999</v>
      </c>
      <c r="L100" s="26">
        <f>367.7+0.368</f>
        <v>368.06799999999998</v>
      </c>
      <c r="M100" s="26">
        <f>337.444+0.368</f>
        <v>337.81200000000001</v>
      </c>
      <c r="N100" s="26">
        <v>368.06799999999998</v>
      </c>
      <c r="O100" s="26">
        <v>368.06799999999998</v>
      </c>
      <c r="P100" s="32" t="s">
        <v>251</v>
      </c>
      <c r="Q100" s="33"/>
      <c r="R100" s="42">
        <f t="shared" si="8"/>
        <v>100</v>
      </c>
      <c r="S100" s="42">
        <f t="shared" si="9"/>
        <v>91.779779823293524</v>
      </c>
    </row>
    <row r="101" spans="1:19" s="34" customFormat="1" ht="32.25" hidden="1" customHeight="1" x14ac:dyDescent="0.2">
      <c r="A101" s="128"/>
      <c r="B101" s="128"/>
      <c r="C101" s="121"/>
      <c r="D101" s="28" t="s">
        <v>80</v>
      </c>
      <c r="E101" s="28" t="s">
        <v>103</v>
      </c>
      <c r="F101" s="28" t="s">
        <v>160</v>
      </c>
      <c r="G101" s="28" t="s">
        <v>120</v>
      </c>
      <c r="H101" s="26"/>
      <c r="I101" s="26"/>
      <c r="J101" s="26"/>
      <c r="K101" s="26"/>
      <c r="L101" s="26"/>
      <c r="M101" s="26"/>
      <c r="N101" s="26"/>
      <c r="O101" s="26"/>
      <c r="P101" s="32"/>
      <c r="Q101" s="33"/>
      <c r="R101" s="42" t="e">
        <f t="shared" si="8"/>
        <v>#DIV/0!</v>
      </c>
      <c r="S101" s="42" t="e">
        <f t="shared" si="9"/>
        <v>#DIV/0!</v>
      </c>
    </row>
    <row r="102" spans="1:19" s="34" customFormat="1" ht="32.25" hidden="1" customHeight="1" x14ac:dyDescent="0.2">
      <c r="A102" s="128"/>
      <c r="B102" s="128"/>
      <c r="C102" s="121"/>
      <c r="D102" s="28" t="s">
        <v>80</v>
      </c>
      <c r="E102" s="28" t="s">
        <v>103</v>
      </c>
      <c r="F102" s="28" t="s">
        <v>161</v>
      </c>
      <c r="G102" s="28" t="s">
        <v>120</v>
      </c>
      <c r="H102" s="26"/>
      <c r="I102" s="26"/>
      <c r="J102" s="26"/>
      <c r="K102" s="26"/>
      <c r="L102" s="26"/>
      <c r="M102" s="26"/>
      <c r="N102" s="26"/>
      <c r="O102" s="26"/>
      <c r="P102" s="32"/>
      <c r="Q102" s="33"/>
      <c r="R102" s="42" t="e">
        <f t="shared" si="8"/>
        <v>#DIV/0!</v>
      </c>
      <c r="S102" s="42" t="e">
        <f t="shared" si="9"/>
        <v>#DIV/0!</v>
      </c>
    </row>
    <row r="103" spans="1:19" s="34" customFormat="1" ht="28.5" hidden="1" customHeight="1" x14ac:dyDescent="0.2">
      <c r="A103" s="128"/>
      <c r="B103" s="128"/>
      <c r="C103" s="121"/>
      <c r="D103" s="28" t="s">
        <v>80</v>
      </c>
      <c r="E103" s="28" t="s">
        <v>103</v>
      </c>
      <c r="F103" s="28" t="s">
        <v>150</v>
      </c>
      <c r="G103" s="28" t="s">
        <v>121</v>
      </c>
      <c r="H103" s="26"/>
      <c r="I103" s="26"/>
      <c r="J103" s="26"/>
      <c r="K103" s="26"/>
      <c r="L103" s="26"/>
      <c r="M103" s="26"/>
      <c r="N103" s="26"/>
      <c r="O103" s="26"/>
      <c r="P103" s="32"/>
      <c r="Q103" s="33"/>
      <c r="R103" s="42" t="e">
        <f t="shared" si="8"/>
        <v>#DIV/0!</v>
      </c>
      <c r="S103" s="42" t="e">
        <f t="shared" si="9"/>
        <v>#DIV/0!</v>
      </c>
    </row>
    <row r="104" spans="1:19" s="34" customFormat="1" ht="12.75" hidden="1" customHeight="1" x14ac:dyDescent="0.2">
      <c r="A104" s="128"/>
      <c r="B104" s="128"/>
      <c r="C104" s="121"/>
      <c r="D104" s="28" t="s">
        <v>80</v>
      </c>
      <c r="E104" s="28" t="s">
        <v>103</v>
      </c>
      <c r="F104" s="28" t="s">
        <v>152</v>
      </c>
      <c r="G104" s="28" t="s">
        <v>121</v>
      </c>
      <c r="H104" s="26"/>
      <c r="I104" s="26"/>
      <c r="J104" s="26"/>
      <c r="K104" s="26"/>
      <c r="L104" s="26"/>
      <c r="M104" s="26"/>
      <c r="N104" s="26"/>
      <c r="O104" s="26"/>
      <c r="P104" s="32"/>
      <c r="R104" s="42" t="e">
        <f t="shared" si="8"/>
        <v>#DIV/0!</v>
      </c>
      <c r="S104" s="42" t="e">
        <f t="shared" si="9"/>
        <v>#DIV/0!</v>
      </c>
    </row>
    <row r="105" spans="1:19" s="34" customFormat="1" ht="12.75" hidden="1" customHeight="1" x14ac:dyDescent="0.2">
      <c r="A105" s="128"/>
      <c r="B105" s="128"/>
      <c r="C105" s="121"/>
      <c r="D105" s="28" t="s">
        <v>80</v>
      </c>
      <c r="E105" s="28" t="s">
        <v>103</v>
      </c>
      <c r="F105" s="28" t="s">
        <v>149</v>
      </c>
      <c r="G105" s="28" t="s">
        <v>121</v>
      </c>
      <c r="H105" s="26"/>
      <c r="I105" s="26"/>
      <c r="J105" s="26"/>
      <c r="K105" s="26"/>
      <c r="L105" s="26"/>
      <c r="M105" s="26"/>
      <c r="N105" s="26"/>
      <c r="O105" s="26"/>
      <c r="P105" s="32"/>
      <c r="R105" s="42" t="e">
        <f t="shared" si="8"/>
        <v>#DIV/0!</v>
      </c>
      <c r="S105" s="42" t="e">
        <f t="shared" si="9"/>
        <v>#DIV/0!</v>
      </c>
    </row>
    <row r="106" spans="1:19" s="34" customFormat="1" ht="12.75" hidden="1" customHeight="1" x14ac:dyDescent="0.2">
      <c r="A106" s="128"/>
      <c r="B106" s="128"/>
      <c r="C106" s="121"/>
      <c r="D106" s="28" t="s">
        <v>80</v>
      </c>
      <c r="E106" s="28" t="s">
        <v>103</v>
      </c>
      <c r="F106" s="28" t="s">
        <v>151</v>
      </c>
      <c r="G106" s="28" t="s">
        <v>121</v>
      </c>
      <c r="H106" s="26"/>
      <c r="I106" s="26"/>
      <c r="J106" s="26"/>
      <c r="K106" s="26"/>
      <c r="L106" s="26"/>
      <c r="M106" s="26"/>
      <c r="N106" s="26"/>
      <c r="O106" s="26"/>
      <c r="P106" s="32"/>
      <c r="R106" s="42" t="e">
        <f t="shared" si="8"/>
        <v>#DIV/0!</v>
      </c>
      <c r="S106" s="42" t="e">
        <f t="shared" si="9"/>
        <v>#DIV/0!</v>
      </c>
    </row>
    <row r="107" spans="1:19" s="34" customFormat="1" ht="12.75" hidden="1" customHeight="1" x14ac:dyDescent="0.2">
      <c r="A107" s="128"/>
      <c r="B107" s="128"/>
      <c r="C107" s="121"/>
      <c r="D107" s="28" t="s">
        <v>80</v>
      </c>
      <c r="E107" s="28" t="s">
        <v>103</v>
      </c>
      <c r="F107" s="28" t="s">
        <v>155</v>
      </c>
      <c r="G107" s="28" t="s">
        <v>121</v>
      </c>
      <c r="H107" s="26"/>
      <c r="I107" s="26"/>
      <c r="J107" s="26"/>
      <c r="K107" s="26"/>
      <c r="L107" s="26"/>
      <c r="M107" s="26"/>
      <c r="N107" s="26"/>
      <c r="O107" s="26"/>
      <c r="P107" s="32"/>
      <c r="R107" s="42" t="e">
        <f t="shared" si="8"/>
        <v>#DIV/0!</v>
      </c>
      <c r="S107" s="42" t="e">
        <f t="shared" si="9"/>
        <v>#DIV/0!</v>
      </c>
    </row>
    <row r="108" spans="1:19" s="34" customFormat="1" ht="12.75" hidden="1" customHeight="1" x14ac:dyDescent="0.2">
      <c r="A108" s="128"/>
      <c r="B108" s="128"/>
      <c r="C108" s="121"/>
      <c r="D108" s="28" t="s">
        <v>80</v>
      </c>
      <c r="E108" s="28" t="s">
        <v>103</v>
      </c>
      <c r="F108" s="28" t="s">
        <v>156</v>
      </c>
      <c r="G108" s="28" t="s">
        <v>121</v>
      </c>
      <c r="H108" s="26"/>
      <c r="I108" s="26"/>
      <c r="J108" s="26"/>
      <c r="K108" s="26"/>
      <c r="L108" s="26"/>
      <c r="M108" s="26"/>
      <c r="N108" s="26"/>
      <c r="O108" s="26"/>
      <c r="P108" s="32"/>
      <c r="R108" s="42" t="e">
        <f t="shared" si="8"/>
        <v>#DIV/0!</v>
      </c>
      <c r="S108" s="42" t="e">
        <f t="shared" si="9"/>
        <v>#DIV/0!</v>
      </c>
    </row>
    <row r="109" spans="1:19" s="34" customFormat="1" ht="27" customHeight="1" x14ac:dyDescent="0.2">
      <c r="A109" s="128"/>
      <c r="B109" s="128"/>
      <c r="C109" s="120"/>
      <c r="D109" s="28" t="s">
        <v>80</v>
      </c>
      <c r="E109" s="28" t="s">
        <v>103</v>
      </c>
      <c r="F109" s="28" t="s">
        <v>170</v>
      </c>
      <c r="G109" s="28" t="s">
        <v>121</v>
      </c>
      <c r="H109" s="26">
        <v>18168.569</v>
      </c>
      <c r="I109" s="26">
        <v>1804.8889999999999</v>
      </c>
      <c r="J109" s="26">
        <v>0</v>
      </c>
      <c r="K109" s="26">
        <v>0</v>
      </c>
      <c r="L109" s="26">
        <f>16363.67+1818.187</f>
        <v>18181.857</v>
      </c>
      <c r="M109" s="26">
        <f>16045.67+1818.186</f>
        <v>17863.856</v>
      </c>
      <c r="N109" s="26">
        <v>0</v>
      </c>
      <c r="O109" s="26">
        <v>0</v>
      </c>
      <c r="P109" s="32" t="s">
        <v>252</v>
      </c>
      <c r="R109" s="42" t="e">
        <f t="shared" si="8"/>
        <v>#DIV/0!</v>
      </c>
      <c r="S109" s="42">
        <f t="shared" si="9"/>
        <v>98.250998234118768</v>
      </c>
    </row>
    <row r="110" spans="1:19" s="34" customFormat="1" ht="51" x14ac:dyDescent="0.2">
      <c r="A110" s="128"/>
      <c r="B110" s="128"/>
      <c r="C110" s="31" t="s">
        <v>77</v>
      </c>
      <c r="D110" s="28" t="s">
        <v>80</v>
      </c>
      <c r="E110" s="28" t="s">
        <v>103</v>
      </c>
      <c r="F110" s="28" t="s">
        <v>198</v>
      </c>
      <c r="G110" s="28" t="s">
        <v>121</v>
      </c>
      <c r="H110" s="26">
        <v>120</v>
      </c>
      <c r="I110" s="26"/>
      <c r="J110" s="26"/>
      <c r="K110" s="26"/>
      <c r="L110" s="26"/>
      <c r="M110" s="26"/>
      <c r="N110" s="26"/>
      <c r="O110" s="26"/>
      <c r="P110" s="32"/>
      <c r="R110" s="42" t="e">
        <f t="shared" si="8"/>
        <v>#DIV/0!</v>
      </c>
      <c r="S110" s="42" t="e">
        <f t="shared" si="9"/>
        <v>#DIV/0!</v>
      </c>
    </row>
    <row r="111" spans="1:19" s="39" customFormat="1" ht="43.5" customHeight="1" x14ac:dyDescent="0.2">
      <c r="A111" s="128"/>
      <c r="B111" s="128"/>
      <c r="C111" s="40" t="s">
        <v>116</v>
      </c>
      <c r="D111" s="41"/>
      <c r="E111" s="43"/>
      <c r="F111" s="43"/>
      <c r="G111" s="43"/>
      <c r="H111" s="25">
        <f>SUM(H92:H110,0)</f>
        <v>18788.254000000001</v>
      </c>
      <c r="I111" s="25">
        <f t="shared" ref="I111:O111" si="12">SUM(I92:I110,0)</f>
        <v>2304.5740000000001</v>
      </c>
      <c r="J111" s="25">
        <f t="shared" si="12"/>
        <v>490.36799999999999</v>
      </c>
      <c r="K111" s="25">
        <f t="shared" si="12"/>
        <v>490.36799999999999</v>
      </c>
      <c r="L111" s="25">
        <f t="shared" si="12"/>
        <v>19039.924999999999</v>
      </c>
      <c r="M111" s="25">
        <f t="shared" si="12"/>
        <v>18691.668000000001</v>
      </c>
      <c r="N111" s="25">
        <f t="shared" si="12"/>
        <v>858.06799999999998</v>
      </c>
      <c r="O111" s="25">
        <f t="shared" si="12"/>
        <v>858.06799999999998</v>
      </c>
      <c r="P111" s="68" t="s">
        <v>253</v>
      </c>
      <c r="R111" s="42">
        <f t="shared" si="8"/>
        <v>100</v>
      </c>
      <c r="S111" s="42">
        <f t="shared" si="9"/>
        <v>98.170911912730759</v>
      </c>
    </row>
    <row r="112" spans="1:19" s="34" customFormat="1" hidden="1" x14ac:dyDescent="0.2">
      <c r="A112" s="31" t="s">
        <v>10</v>
      </c>
      <c r="B112" s="31"/>
      <c r="C112" s="31"/>
      <c r="D112" s="28"/>
      <c r="E112" s="28"/>
      <c r="F112" s="28"/>
      <c r="G112" s="28"/>
      <c r="H112" s="26"/>
      <c r="I112" s="26"/>
      <c r="J112" s="26"/>
      <c r="K112" s="26"/>
      <c r="L112" s="26"/>
      <c r="M112" s="26"/>
      <c r="N112" s="26"/>
      <c r="O112" s="26"/>
      <c r="P112" s="33"/>
      <c r="R112" s="42" t="e">
        <f t="shared" si="8"/>
        <v>#DIV/0!</v>
      </c>
      <c r="S112" s="42" t="e">
        <f t="shared" si="9"/>
        <v>#DIV/0!</v>
      </c>
    </row>
    <row r="113" spans="1:19" s="34" customFormat="1" ht="25.5" hidden="1" x14ac:dyDescent="0.2">
      <c r="A113" s="128" t="s">
        <v>38</v>
      </c>
      <c r="B113" s="128"/>
      <c r="C113" s="31" t="s">
        <v>30</v>
      </c>
      <c r="D113" s="28"/>
      <c r="E113" s="37"/>
      <c r="F113" s="37"/>
      <c r="G113" s="37"/>
      <c r="H113" s="26"/>
      <c r="I113" s="26"/>
      <c r="J113" s="26"/>
      <c r="K113" s="26"/>
      <c r="L113" s="26"/>
      <c r="M113" s="26"/>
      <c r="N113" s="26"/>
      <c r="O113" s="26"/>
      <c r="P113" s="33"/>
      <c r="R113" s="42" t="e">
        <f t="shared" si="8"/>
        <v>#DIV/0!</v>
      </c>
      <c r="S113" s="42" t="e">
        <f t="shared" si="9"/>
        <v>#DIV/0!</v>
      </c>
    </row>
    <row r="114" spans="1:19" s="34" customFormat="1" ht="25.5" hidden="1" x14ac:dyDescent="0.2">
      <c r="A114" s="128"/>
      <c r="B114" s="128"/>
      <c r="C114" s="31" t="s">
        <v>65</v>
      </c>
      <c r="D114" s="28"/>
      <c r="E114" s="37"/>
      <c r="F114" s="37"/>
      <c r="G114" s="37"/>
      <c r="H114" s="26"/>
      <c r="I114" s="26"/>
      <c r="J114" s="26"/>
      <c r="K114" s="26"/>
      <c r="L114" s="26"/>
      <c r="M114" s="26"/>
      <c r="N114" s="26"/>
      <c r="O114" s="26"/>
      <c r="P114" s="33"/>
      <c r="R114" s="42" t="e">
        <f t="shared" si="8"/>
        <v>#DIV/0!</v>
      </c>
      <c r="S114" s="42" t="e">
        <f t="shared" si="9"/>
        <v>#DIV/0!</v>
      </c>
    </row>
    <row r="115" spans="1:19" s="34" customFormat="1" ht="12.75" hidden="1" customHeight="1" x14ac:dyDescent="0.2">
      <c r="A115" s="128"/>
      <c r="B115" s="128"/>
      <c r="C115" s="31"/>
      <c r="D115" s="28"/>
      <c r="E115" s="37"/>
      <c r="F115" s="37"/>
      <c r="G115" s="37"/>
      <c r="H115" s="26"/>
      <c r="I115" s="26"/>
      <c r="J115" s="26"/>
      <c r="K115" s="26"/>
      <c r="L115" s="26"/>
      <c r="M115" s="26"/>
      <c r="N115" s="26"/>
      <c r="O115" s="26"/>
      <c r="P115" s="33"/>
      <c r="R115" s="42" t="e">
        <f t="shared" si="8"/>
        <v>#DIV/0!</v>
      </c>
      <c r="S115" s="42" t="e">
        <f t="shared" si="9"/>
        <v>#DIV/0!</v>
      </c>
    </row>
    <row r="116" spans="1:19" s="34" customFormat="1" ht="12.75" hidden="1" customHeight="1" x14ac:dyDescent="0.2">
      <c r="A116" s="128"/>
      <c r="B116" s="128"/>
      <c r="C116" s="31"/>
      <c r="D116" s="28"/>
      <c r="E116" s="37"/>
      <c r="F116" s="37"/>
      <c r="G116" s="37"/>
      <c r="H116" s="26"/>
      <c r="I116" s="26"/>
      <c r="J116" s="26"/>
      <c r="K116" s="26"/>
      <c r="L116" s="26"/>
      <c r="M116" s="26"/>
      <c r="N116" s="26"/>
      <c r="O116" s="26"/>
      <c r="P116" s="33"/>
      <c r="R116" s="42" t="e">
        <f t="shared" si="8"/>
        <v>#DIV/0!</v>
      </c>
      <c r="S116" s="42" t="e">
        <f t="shared" si="9"/>
        <v>#DIV/0!</v>
      </c>
    </row>
    <row r="117" spans="1:19" s="34" customFormat="1" ht="15" hidden="1" customHeight="1" x14ac:dyDescent="0.2">
      <c r="A117" s="122" t="s">
        <v>47</v>
      </c>
      <c r="B117" s="122" t="s">
        <v>79</v>
      </c>
      <c r="C117" s="31" t="s">
        <v>30</v>
      </c>
      <c r="D117" s="28" t="s">
        <v>86</v>
      </c>
      <c r="E117" s="28" t="s">
        <v>86</v>
      </c>
      <c r="F117" s="28" t="s">
        <v>86</v>
      </c>
      <c r="G117" s="28" t="s">
        <v>86</v>
      </c>
      <c r="H117" s="25">
        <f>SUM(L120:L123)</f>
        <v>0</v>
      </c>
      <c r="I117" s="25">
        <f>SUM(I119:I123)</f>
        <v>0</v>
      </c>
      <c r="J117" s="25">
        <f>SUM(J119:J123)</f>
        <v>0</v>
      </c>
      <c r="K117" s="25">
        <f>SUM(K119:K123)</f>
        <v>0</v>
      </c>
      <c r="L117" s="25">
        <f>SUM(L120:L123)</f>
        <v>0</v>
      </c>
      <c r="M117" s="25">
        <f>SUM(M119:M123)</f>
        <v>0</v>
      </c>
      <c r="N117" s="25">
        <f>SUM(N120:N123)</f>
        <v>0</v>
      </c>
      <c r="O117" s="25">
        <f>SUM(O120:O123)</f>
        <v>0</v>
      </c>
      <c r="P117" s="33"/>
      <c r="R117" s="42" t="e">
        <f t="shared" si="8"/>
        <v>#DIV/0!</v>
      </c>
      <c r="S117" s="42" t="e">
        <f t="shared" si="9"/>
        <v>#DIV/0!</v>
      </c>
    </row>
    <row r="118" spans="1:19" s="34" customFormat="1" ht="15" hidden="1" customHeight="1" x14ac:dyDescent="0.2">
      <c r="A118" s="123"/>
      <c r="B118" s="123"/>
      <c r="C118" s="31" t="s">
        <v>65</v>
      </c>
      <c r="D118" s="28"/>
      <c r="E118" s="28"/>
      <c r="F118" s="28"/>
      <c r="G118" s="28"/>
      <c r="H118" s="26"/>
      <c r="I118" s="26"/>
      <c r="J118" s="26"/>
      <c r="K118" s="26"/>
      <c r="L118" s="26"/>
      <c r="M118" s="26"/>
      <c r="N118" s="26"/>
      <c r="O118" s="26"/>
      <c r="P118" s="33"/>
      <c r="R118" s="42" t="e">
        <f t="shared" si="8"/>
        <v>#DIV/0!</v>
      </c>
      <c r="S118" s="42" t="e">
        <f t="shared" si="9"/>
        <v>#DIV/0!</v>
      </c>
    </row>
    <row r="119" spans="1:19" s="34" customFormat="1" ht="25.5" hidden="1" customHeight="1" x14ac:dyDescent="0.2">
      <c r="A119" s="123"/>
      <c r="B119" s="123"/>
      <c r="C119" s="31" t="s">
        <v>77</v>
      </c>
      <c r="D119" s="28" t="s">
        <v>80</v>
      </c>
      <c r="E119" s="28" t="s">
        <v>81</v>
      </c>
      <c r="F119" s="28" t="s">
        <v>82</v>
      </c>
      <c r="G119" s="28" t="s">
        <v>124</v>
      </c>
      <c r="I119" s="26"/>
      <c r="J119" s="26"/>
      <c r="K119" s="26"/>
      <c r="M119" s="26"/>
      <c r="P119" s="32"/>
      <c r="Q119" s="33"/>
      <c r="R119" s="42" t="e">
        <f t="shared" si="8"/>
        <v>#DIV/0!</v>
      </c>
      <c r="S119" s="42" t="e">
        <f t="shared" si="9"/>
        <v>#DIV/0!</v>
      </c>
    </row>
    <row r="120" spans="1:19" s="34" customFormat="1" ht="25.5" hidden="1" customHeight="1" x14ac:dyDescent="0.2">
      <c r="A120" s="123"/>
      <c r="B120" s="123"/>
      <c r="C120" s="31" t="s">
        <v>77</v>
      </c>
      <c r="D120" s="28" t="s">
        <v>80</v>
      </c>
      <c r="E120" s="28" t="s">
        <v>81</v>
      </c>
      <c r="F120" s="28" t="s">
        <v>83</v>
      </c>
      <c r="G120" s="28" t="s">
        <v>124</v>
      </c>
      <c r="H120" s="26"/>
      <c r="I120" s="26"/>
      <c r="J120" s="26"/>
      <c r="K120" s="26"/>
      <c r="L120" s="26"/>
      <c r="M120" s="26"/>
      <c r="N120" s="26"/>
      <c r="O120" s="26"/>
      <c r="P120" s="32"/>
      <c r="Q120" s="33"/>
      <c r="R120" s="42" t="e">
        <f t="shared" si="8"/>
        <v>#DIV/0!</v>
      </c>
      <c r="S120" s="42" t="e">
        <f t="shared" si="9"/>
        <v>#DIV/0!</v>
      </c>
    </row>
    <row r="121" spans="1:19" s="34" customFormat="1" ht="25.5" hidden="1" customHeight="1" x14ac:dyDescent="0.2">
      <c r="A121" s="123"/>
      <c r="B121" s="123"/>
      <c r="C121" s="31" t="s">
        <v>77</v>
      </c>
      <c r="D121" s="28" t="s">
        <v>80</v>
      </c>
      <c r="E121" s="28" t="s">
        <v>84</v>
      </c>
      <c r="F121" s="28" t="s">
        <v>85</v>
      </c>
      <c r="G121" s="28" t="s">
        <v>125</v>
      </c>
      <c r="H121" s="26"/>
      <c r="I121" s="26"/>
      <c r="J121" s="26"/>
      <c r="K121" s="26"/>
      <c r="L121" s="26"/>
      <c r="M121" s="26"/>
      <c r="N121" s="26"/>
      <c r="O121" s="26"/>
      <c r="P121" s="32"/>
      <c r="Q121" s="33"/>
      <c r="R121" s="42" t="e">
        <f t="shared" si="8"/>
        <v>#DIV/0!</v>
      </c>
      <c r="S121" s="42" t="e">
        <f t="shared" si="9"/>
        <v>#DIV/0!</v>
      </c>
    </row>
    <row r="122" spans="1:19" s="34" customFormat="1" ht="25.5" hidden="1" customHeight="1" x14ac:dyDescent="0.2">
      <c r="A122" s="123"/>
      <c r="B122" s="123"/>
      <c r="C122" s="31" t="s">
        <v>77</v>
      </c>
      <c r="D122" s="28" t="s">
        <v>80</v>
      </c>
      <c r="E122" s="28" t="s">
        <v>84</v>
      </c>
      <c r="F122" s="28" t="s">
        <v>85</v>
      </c>
      <c r="G122" s="28" t="s">
        <v>126</v>
      </c>
      <c r="H122" s="26"/>
      <c r="I122" s="26"/>
      <c r="J122" s="26"/>
      <c r="K122" s="26"/>
      <c r="L122" s="26"/>
      <c r="M122" s="26"/>
      <c r="N122" s="26"/>
      <c r="O122" s="26"/>
      <c r="P122" s="32"/>
      <c r="Q122" s="33"/>
      <c r="R122" s="42" t="e">
        <f t="shared" si="8"/>
        <v>#DIV/0!</v>
      </c>
      <c r="S122" s="42" t="e">
        <f t="shared" si="9"/>
        <v>#DIV/0!</v>
      </c>
    </row>
    <row r="123" spans="1:19" s="34" customFormat="1" ht="25.5" hidden="1" customHeight="1" x14ac:dyDescent="0.2">
      <c r="A123" s="123"/>
      <c r="B123" s="124"/>
      <c r="C123" s="31" t="s">
        <v>77</v>
      </c>
      <c r="D123" s="28" t="s">
        <v>80</v>
      </c>
      <c r="E123" s="28" t="s">
        <v>84</v>
      </c>
      <c r="F123" s="28" t="s">
        <v>85</v>
      </c>
      <c r="G123" s="28" t="s">
        <v>127</v>
      </c>
      <c r="H123" s="26"/>
      <c r="I123" s="26"/>
      <c r="J123" s="26"/>
      <c r="K123" s="26"/>
      <c r="L123" s="26"/>
      <c r="M123" s="26"/>
      <c r="N123" s="26"/>
      <c r="O123" s="26"/>
      <c r="P123" s="32"/>
      <c r="Q123" s="33"/>
      <c r="R123" s="42" t="e">
        <f t="shared" si="8"/>
        <v>#DIV/0!</v>
      </c>
      <c r="S123" s="42" t="e">
        <f t="shared" si="9"/>
        <v>#DIV/0!</v>
      </c>
    </row>
    <row r="124" spans="1:19" s="39" customFormat="1" ht="25.5" hidden="1" customHeight="1" x14ac:dyDescent="0.2">
      <c r="A124" s="124"/>
      <c r="B124" s="40"/>
      <c r="C124" s="40" t="s">
        <v>117</v>
      </c>
      <c r="D124" s="41"/>
      <c r="E124" s="41"/>
      <c r="F124" s="41"/>
      <c r="G124" s="41"/>
      <c r="H124" s="25">
        <f>SUM(L120:L123)</f>
        <v>0</v>
      </c>
      <c r="I124" s="25">
        <f>SUM(I119:I123)</f>
        <v>0</v>
      </c>
      <c r="J124" s="25">
        <f>SUM(J119:J123)</f>
        <v>0</v>
      </c>
      <c r="K124" s="25">
        <f>SUM(K119:K123)</f>
        <v>0</v>
      </c>
      <c r="L124" s="25">
        <f>SUM(L120:L123)</f>
        <v>0</v>
      </c>
      <c r="M124" s="25">
        <f>SUM(M119:M123)</f>
        <v>0</v>
      </c>
      <c r="N124" s="25">
        <f>SUM(N120:N123)</f>
        <v>0</v>
      </c>
      <c r="O124" s="25">
        <f>SUM(O120:O123)</f>
        <v>0</v>
      </c>
      <c r="P124" s="38"/>
      <c r="R124" s="42" t="e">
        <f t="shared" si="8"/>
        <v>#DIV/0!</v>
      </c>
      <c r="S124" s="42" t="e">
        <f t="shared" si="9"/>
        <v>#DIV/0!</v>
      </c>
    </row>
    <row r="125" spans="1:19" s="34" customFormat="1" ht="25.5" customHeight="1" x14ac:dyDescent="0.2">
      <c r="A125" s="119" t="s">
        <v>180</v>
      </c>
      <c r="B125" s="119" t="s">
        <v>179</v>
      </c>
      <c r="C125" s="31" t="s">
        <v>30</v>
      </c>
      <c r="D125" s="28" t="s">
        <v>86</v>
      </c>
      <c r="E125" s="28" t="s">
        <v>86</v>
      </c>
      <c r="F125" s="28" t="s">
        <v>86</v>
      </c>
      <c r="G125" s="28" t="s">
        <v>86</v>
      </c>
      <c r="H125" s="25">
        <f>SUM(H127:H164)</f>
        <v>60960.951000000008</v>
      </c>
      <c r="I125" s="25">
        <f>SUM(I127:I164)</f>
        <v>60702.239999999998</v>
      </c>
      <c r="J125" s="25">
        <f>SUM(J127:J162)</f>
        <v>32331.57</v>
      </c>
      <c r="K125" s="25">
        <f>SUM(K127:K162)</f>
        <v>32028.758999999998</v>
      </c>
      <c r="L125" s="25">
        <f>SUM(L127:L164)</f>
        <v>67653.149999999994</v>
      </c>
      <c r="M125" s="25">
        <f>SUM(M127:M164)</f>
        <v>66970.90300000002</v>
      </c>
      <c r="N125" s="25">
        <f>SUM(N127:N164)</f>
        <v>64484.109000000004</v>
      </c>
      <c r="O125" s="25">
        <f>SUM(O127:O164)</f>
        <v>64484.109000000004</v>
      </c>
      <c r="P125" s="32"/>
      <c r="R125" s="42">
        <f t="shared" si="8"/>
        <v>99.063420056619577</v>
      </c>
      <c r="S125" s="42">
        <f t="shared" si="9"/>
        <v>98.991551760708887</v>
      </c>
    </row>
    <row r="126" spans="1:19" s="34" customFormat="1" ht="25.5" customHeight="1" x14ac:dyDescent="0.2">
      <c r="A126" s="121"/>
      <c r="B126" s="121"/>
      <c r="C126" s="31" t="s">
        <v>65</v>
      </c>
      <c r="D126" s="28"/>
      <c r="E126" s="28"/>
      <c r="F126" s="28"/>
      <c r="G126" s="28"/>
      <c r="H126" s="26"/>
      <c r="I126" s="26"/>
      <c r="J126" s="26"/>
      <c r="K126" s="26"/>
      <c r="L126" s="26"/>
      <c r="M126" s="26"/>
      <c r="N126" s="26"/>
      <c r="O126" s="25">
        <f>N126</f>
        <v>0</v>
      </c>
      <c r="P126" s="32"/>
      <c r="R126" s="42" t="e">
        <f t="shared" si="8"/>
        <v>#DIV/0!</v>
      </c>
      <c r="S126" s="42" t="e">
        <f t="shared" si="9"/>
        <v>#DIV/0!</v>
      </c>
    </row>
    <row r="127" spans="1:19" s="34" customFormat="1" ht="25.5" customHeight="1" x14ac:dyDescent="0.2">
      <c r="A127" s="121"/>
      <c r="B127" s="121"/>
      <c r="C127" s="119" t="s">
        <v>77</v>
      </c>
      <c r="D127" s="28" t="s">
        <v>80</v>
      </c>
      <c r="E127" s="28" t="s">
        <v>84</v>
      </c>
      <c r="F127" s="28" t="s">
        <v>145</v>
      </c>
      <c r="G127" s="28" t="s">
        <v>128</v>
      </c>
      <c r="H127" s="26">
        <v>25946.2</v>
      </c>
      <c r="I127" s="26">
        <v>25917.528999999999</v>
      </c>
      <c r="J127" s="26">
        <v>13512.287</v>
      </c>
      <c r="K127" s="26">
        <v>13506.491</v>
      </c>
      <c r="L127" s="26">
        <v>28925.440999999999</v>
      </c>
      <c r="M127" s="26">
        <v>28765.300999999999</v>
      </c>
      <c r="N127" s="26">
        <v>28925.440999999999</v>
      </c>
      <c r="O127" s="26">
        <v>28925.440999999999</v>
      </c>
      <c r="P127" s="32" t="s">
        <v>243</v>
      </c>
      <c r="Q127" s="33"/>
      <c r="R127" s="42">
        <f t="shared" si="8"/>
        <v>99.957105706828159</v>
      </c>
      <c r="S127" s="42">
        <f t="shared" si="9"/>
        <v>99.446369719998401</v>
      </c>
    </row>
    <row r="128" spans="1:19" s="34" customFormat="1" ht="25.5" customHeight="1" x14ac:dyDescent="0.2">
      <c r="A128" s="121"/>
      <c r="B128" s="121"/>
      <c r="C128" s="121"/>
      <c r="D128" s="28" t="s">
        <v>80</v>
      </c>
      <c r="E128" s="28" t="s">
        <v>84</v>
      </c>
      <c r="F128" s="28" t="s">
        <v>145</v>
      </c>
      <c r="G128" s="28" t="s">
        <v>129</v>
      </c>
      <c r="H128" s="26">
        <v>58.313000000000002</v>
      </c>
      <c r="I128" s="26">
        <v>54.613</v>
      </c>
      <c r="J128" s="26">
        <v>74.424999999999997</v>
      </c>
      <c r="K128" s="26">
        <v>74.424999999999997</v>
      </c>
      <c r="L128" s="26">
        <v>110.84</v>
      </c>
      <c r="M128" s="26">
        <v>109.095</v>
      </c>
      <c r="N128" s="26">
        <v>110.84</v>
      </c>
      <c r="O128" s="26">
        <v>110.84</v>
      </c>
      <c r="P128" s="32" t="s">
        <v>254</v>
      </c>
      <c r="Q128" s="33"/>
      <c r="R128" s="42">
        <f t="shared" si="8"/>
        <v>100</v>
      </c>
      <c r="S128" s="42">
        <f t="shared" si="9"/>
        <v>98.425658607001083</v>
      </c>
    </row>
    <row r="129" spans="1:19" s="34" customFormat="1" ht="25.5" customHeight="1" x14ac:dyDescent="0.2">
      <c r="A129" s="121"/>
      <c r="B129" s="121"/>
      <c r="C129" s="121"/>
      <c r="D129" s="28" t="s">
        <v>80</v>
      </c>
      <c r="E129" s="28" t="s">
        <v>84</v>
      </c>
      <c r="F129" s="28" t="s">
        <v>145</v>
      </c>
      <c r="G129" s="28" t="s">
        <v>132</v>
      </c>
      <c r="H129" s="26">
        <v>7835.7</v>
      </c>
      <c r="I129" s="26">
        <v>7824.1589999999997</v>
      </c>
      <c r="J129" s="26">
        <v>3548.28</v>
      </c>
      <c r="K129" s="26">
        <v>3548.28</v>
      </c>
      <c r="L129" s="26">
        <v>8735.4840000000004</v>
      </c>
      <c r="M129" s="26">
        <v>8712.51</v>
      </c>
      <c r="N129" s="26">
        <v>8735.4840000000004</v>
      </c>
      <c r="O129" s="26">
        <v>8735.4840000000004</v>
      </c>
      <c r="P129" s="32" t="s">
        <v>255</v>
      </c>
      <c r="Q129" s="33"/>
      <c r="R129" s="42">
        <f t="shared" si="8"/>
        <v>100</v>
      </c>
      <c r="S129" s="42">
        <f t="shared" si="9"/>
        <v>99.737003696646923</v>
      </c>
    </row>
    <row r="130" spans="1:19" s="34" customFormat="1" ht="25.5" customHeight="1" x14ac:dyDescent="0.2">
      <c r="A130" s="121"/>
      <c r="B130" s="121"/>
      <c r="C130" s="121"/>
      <c r="D130" s="28" t="s">
        <v>80</v>
      </c>
      <c r="E130" s="28" t="s">
        <v>84</v>
      </c>
      <c r="F130" s="28" t="s">
        <v>145</v>
      </c>
      <c r="G130" s="28" t="s">
        <v>127</v>
      </c>
      <c r="H130" s="26">
        <v>12363.984</v>
      </c>
      <c r="I130" s="26">
        <v>12358</v>
      </c>
      <c r="J130" s="26">
        <v>7120.2060000000001</v>
      </c>
      <c r="K130" s="26">
        <v>7094.473</v>
      </c>
      <c r="L130" s="26">
        <v>13133.572</v>
      </c>
      <c r="M130" s="26">
        <v>13060.602999999999</v>
      </c>
      <c r="N130" s="26">
        <v>11732.191000000001</v>
      </c>
      <c r="O130" s="26">
        <v>11732.191000000001</v>
      </c>
      <c r="P130" s="32" t="s">
        <v>256</v>
      </c>
      <c r="Q130" s="33"/>
      <c r="R130" s="42">
        <f t="shared" si="8"/>
        <v>99.63859191714397</v>
      </c>
      <c r="S130" s="42">
        <f t="shared" si="9"/>
        <v>99.444408573691902</v>
      </c>
    </row>
    <row r="131" spans="1:19" s="34" customFormat="1" ht="25.5" customHeight="1" x14ac:dyDescent="0.2">
      <c r="A131" s="121"/>
      <c r="B131" s="121"/>
      <c r="C131" s="121"/>
      <c r="D131" s="28" t="s">
        <v>80</v>
      </c>
      <c r="E131" s="28" t="s">
        <v>84</v>
      </c>
      <c r="F131" s="28" t="s">
        <v>145</v>
      </c>
      <c r="G131" s="28" t="s">
        <v>130</v>
      </c>
      <c r="H131" s="26">
        <v>18.167999999999999</v>
      </c>
      <c r="I131" s="26">
        <v>18.167999999999999</v>
      </c>
      <c r="J131" s="26">
        <v>9.0839999999999996</v>
      </c>
      <c r="K131" s="26">
        <v>9.0839999999999996</v>
      </c>
      <c r="L131" s="26">
        <v>18.167999999999999</v>
      </c>
      <c r="M131" s="26">
        <v>18.167999999999999</v>
      </c>
      <c r="N131" s="26">
        <v>18.167999999999999</v>
      </c>
      <c r="O131" s="26">
        <v>18.167999999999999</v>
      </c>
      <c r="P131" s="32" t="s">
        <v>235</v>
      </c>
      <c r="Q131" s="33"/>
      <c r="R131" s="42">
        <f t="shared" si="8"/>
        <v>100</v>
      </c>
      <c r="S131" s="42">
        <f t="shared" si="9"/>
        <v>100</v>
      </c>
    </row>
    <row r="132" spans="1:19" s="34" customFormat="1" ht="45.75" customHeight="1" x14ac:dyDescent="0.2">
      <c r="A132" s="121"/>
      <c r="B132" s="121"/>
      <c r="C132" s="121"/>
      <c r="D132" s="28" t="s">
        <v>80</v>
      </c>
      <c r="E132" s="28" t="s">
        <v>84</v>
      </c>
      <c r="F132" s="28" t="s">
        <v>145</v>
      </c>
      <c r="G132" s="28" t="s">
        <v>131</v>
      </c>
      <c r="H132" s="26">
        <v>22.782</v>
      </c>
      <c r="I132" s="26">
        <v>21.8</v>
      </c>
      <c r="J132" s="26">
        <v>7.8</v>
      </c>
      <c r="K132" s="26">
        <v>7.1</v>
      </c>
      <c r="L132" s="26">
        <v>20</v>
      </c>
      <c r="M132" s="26">
        <v>7.1</v>
      </c>
      <c r="N132" s="26">
        <v>20.8</v>
      </c>
      <c r="O132" s="26">
        <v>20.8</v>
      </c>
      <c r="P132" s="32" t="s">
        <v>266</v>
      </c>
      <c r="Q132" s="33"/>
      <c r="R132" s="42">
        <f t="shared" si="8"/>
        <v>91.025641025641022</v>
      </c>
      <c r="S132" s="42">
        <f t="shared" si="9"/>
        <v>35.5</v>
      </c>
    </row>
    <row r="133" spans="1:19" s="34" customFormat="1" ht="44.25" customHeight="1" x14ac:dyDescent="0.2">
      <c r="A133" s="121"/>
      <c r="B133" s="121"/>
      <c r="C133" s="121"/>
      <c r="D133" s="28" t="s">
        <v>80</v>
      </c>
      <c r="E133" s="28" t="s">
        <v>84</v>
      </c>
      <c r="F133" s="28" t="s">
        <v>145</v>
      </c>
      <c r="G133" s="28" t="s">
        <v>157</v>
      </c>
      <c r="H133" s="26">
        <v>0.218</v>
      </c>
      <c r="I133" s="26">
        <v>0.218</v>
      </c>
      <c r="J133" s="26"/>
      <c r="K133" s="26">
        <v>0</v>
      </c>
      <c r="L133" s="26">
        <v>0.4</v>
      </c>
      <c r="M133" s="26">
        <v>0</v>
      </c>
      <c r="N133" s="26">
        <v>1.038</v>
      </c>
      <c r="O133" s="26">
        <v>1.038</v>
      </c>
      <c r="P133" s="32" t="s">
        <v>267</v>
      </c>
      <c r="Q133" s="33"/>
      <c r="R133" s="42" t="e">
        <f t="shared" si="8"/>
        <v>#DIV/0!</v>
      </c>
      <c r="S133" s="42">
        <f t="shared" si="9"/>
        <v>0</v>
      </c>
    </row>
    <row r="134" spans="1:19" s="34" customFormat="1" ht="42" customHeight="1" x14ac:dyDescent="0.2">
      <c r="A134" s="121"/>
      <c r="B134" s="121"/>
      <c r="C134" s="121"/>
      <c r="D134" s="28" t="s">
        <v>80</v>
      </c>
      <c r="E134" s="28" t="s">
        <v>84</v>
      </c>
      <c r="F134" s="28" t="s">
        <v>145</v>
      </c>
      <c r="G134" s="28" t="s">
        <v>220</v>
      </c>
      <c r="H134" s="26"/>
      <c r="I134" s="26"/>
      <c r="J134" s="26">
        <v>989.35699999999997</v>
      </c>
      <c r="K134" s="26">
        <v>739.35699999999997</v>
      </c>
      <c r="L134" s="26">
        <v>1817.1690000000001</v>
      </c>
      <c r="M134" s="26">
        <v>1495.9960000000001</v>
      </c>
      <c r="N134" s="26">
        <v>985.24900000000002</v>
      </c>
      <c r="O134" s="26">
        <v>985.24900000000002</v>
      </c>
      <c r="P134" s="32" t="s">
        <v>268</v>
      </c>
      <c r="Q134" s="33"/>
      <c r="R134" s="42">
        <f t="shared" si="8"/>
        <v>74.731062700319498</v>
      </c>
      <c r="S134" s="42">
        <f t="shared" si="9"/>
        <v>82.325639497482072</v>
      </c>
    </row>
    <row r="135" spans="1:19" s="34" customFormat="1" ht="30.75" customHeight="1" x14ac:dyDescent="0.2">
      <c r="A135" s="121"/>
      <c r="B135" s="121"/>
      <c r="C135" s="121"/>
      <c r="D135" s="28" t="s">
        <v>80</v>
      </c>
      <c r="E135" s="28" t="s">
        <v>84</v>
      </c>
      <c r="F135" s="28" t="s">
        <v>158</v>
      </c>
      <c r="G135" s="28" t="s">
        <v>127</v>
      </c>
      <c r="H135" s="26">
        <v>2.6760000000000002</v>
      </c>
      <c r="I135" s="26">
        <v>2.6760000000000002</v>
      </c>
      <c r="J135" s="26">
        <v>1.508</v>
      </c>
      <c r="K135" s="26">
        <v>1.508</v>
      </c>
      <c r="L135" s="26">
        <v>3.2789999999999999</v>
      </c>
      <c r="M135" s="26">
        <v>3.2789999999999999</v>
      </c>
      <c r="N135" s="26">
        <v>3.24</v>
      </c>
      <c r="O135" s="26">
        <v>3.24</v>
      </c>
      <c r="P135" s="32" t="s">
        <v>235</v>
      </c>
      <c r="Q135" s="33"/>
      <c r="R135" s="42">
        <f t="shared" si="8"/>
        <v>100</v>
      </c>
      <c r="S135" s="42">
        <f t="shared" si="9"/>
        <v>100</v>
      </c>
    </row>
    <row r="136" spans="1:19" s="34" customFormat="1" ht="25.5" customHeight="1" x14ac:dyDescent="0.2">
      <c r="A136" s="121"/>
      <c r="B136" s="121"/>
      <c r="C136" s="121"/>
      <c r="D136" s="28" t="s">
        <v>80</v>
      </c>
      <c r="E136" s="28" t="s">
        <v>84</v>
      </c>
      <c r="F136" s="28" t="s">
        <v>153</v>
      </c>
      <c r="G136" s="28" t="s">
        <v>125</v>
      </c>
      <c r="H136" s="26">
        <v>4032.9</v>
      </c>
      <c r="I136" s="26">
        <v>4028.3130000000001</v>
      </c>
      <c r="J136" s="26">
        <v>2595.2510000000002</v>
      </c>
      <c r="K136" s="26">
        <v>2595.2510000000002</v>
      </c>
      <c r="L136" s="26">
        <v>5522.2</v>
      </c>
      <c r="M136" s="26">
        <v>5521.71</v>
      </c>
      <c r="N136" s="26">
        <v>5522.2</v>
      </c>
      <c r="O136" s="26">
        <v>5522.2</v>
      </c>
      <c r="P136" s="32" t="s">
        <v>241</v>
      </c>
      <c r="Q136" s="33"/>
      <c r="R136" s="42">
        <f t="shared" si="8"/>
        <v>100</v>
      </c>
      <c r="S136" s="42">
        <f t="shared" si="9"/>
        <v>99.991126724856045</v>
      </c>
    </row>
    <row r="137" spans="1:19" s="34" customFormat="1" ht="42" customHeight="1" x14ac:dyDescent="0.2">
      <c r="A137" s="121"/>
      <c r="B137" s="121"/>
      <c r="C137" s="121"/>
      <c r="D137" s="28" t="s">
        <v>80</v>
      </c>
      <c r="E137" s="28" t="s">
        <v>84</v>
      </c>
      <c r="F137" s="28" t="s">
        <v>153</v>
      </c>
      <c r="G137" s="28" t="s">
        <v>126</v>
      </c>
      <c r="H137" s="26">
        <v>139.5</v>
      </c>
      <c r="I137" s="26">
        <v>83.704999999999998</v>
      </c>
      <c r="J137" s="26">
        <v>85.22</v>
      </c>
      <c r="K137" s="26">
        <v>79.819999999999993</v>
      </c>
      <c r="L137" s="26">
        <v>139.5</v>
      </c>
      <c r="M137" s="26">
        <v>131.83000000000001</v>
      </c>
      <c r="N137" s="26">
        <v>139.5</v>
      </c>
      <c r="O137" s="26">
        <v>139.5</v>
      </c>
      <c r="P137" s="32" t="s">
        <v>269</v>
      </c>
      <c r="Q137" s="33"/>
      <c r="R137" s="42">
        <f t="shared" si="8"/>
        <v>93.663459281858707</v>
      </c>
      <c r="S137" s="42">
        <f t="shared" si="9"/>
        <v>94.501792114695348</v>
      </c>
    </row>
    <row r="138" spans="1:19" s="34" customFormat="1" ht="25.5" customHeight="1" x14ac:dyDescent="0.2">
      <c r="A138" s="121"/>
      <c r="B138" s="121"/>
      <c r="C138" s="121"/>
      <c r="D138" s="28" t="s">
        <v>80</v>
      </c>
      <c r="E138" s="28" t="s">
        <v>84</v>
      </c>
      <c r="F138" s="28" t="s">
        <v>153</v>
      </c>
      <c r="G138" s="28" t="s">
        <v>144</v>
      </c>
      <c r="H138" s="26">
        <v>1217.9000000000001</v>
      </c>
      <c r="I138" s="26">
        <v>1206.5350000000001</v>
      </c>
      <c r="J138" s="26">
        <v>623.44299999999998</v>
      </c>
      <c r="K138" s="26">
        <v>623.44299999999998</v>
      </c>
      <c r="L138" s="26">
        <v>1667.704</v>
      </c>
      <c r="M138" s="26">
        <v>1657.155</v>
      </c>
      <c r="N138" s="26">
        <v>1667.704</v>
      </c>
      <c r="O138" s="26">
        <v>1667.704</v>
      </c>
      <c r="P138" s="32" t="s">
        <v>257</v>
      </c>
      <c r="Q138" s="33"/>
      <c r="R138" s="42">
        <f t="shared" si="8"/>
        <v>100</v>
      </c>
      <c r="S138" s="42">
        <f t="shared" si="9"/>
        <v>99.367453696819098</v>
      </c>
    </row>
    <row r="139" spans="1:19" s="34" customFormat="1" ht="30.75" customHeight="1" x14ac:dyDescent="0.2">
      <c r="A139" s="121"/>
      <c r="B139" s="121"/>
      <c r="C139" s="121"/>
      <c r="D139" s="28" t="s">
        <v>80</v>
      </c>
      <c r="E139" s="28" t="s">
        <v>84</v>
      </c>
      <c r="F139" s="28" t="s">
        <v>153</v>
      </c>
      <c r="G139" s="28" t="s">
        <v>127</v>
      </c>
      <c r="H139" s="26">
        <v>1029.5</v>
      </c>
      <c r="I139" s="26">
        <v>1028.3119999999999</v>
      </c>
      <c r="J139" s="26">
        <v>437.61599999999999</v>
      </c>
      <c r="K139" s="26">
        <v>436.01100000000002</v>
      </c>
      <c r="L139" s="26">
        <v>1354.704</v>
      </c>
      <c r="M139" s="26">
        <v>1353.4449999999999</v>
      </c>
      <c r="N139" s="26">
        <v>1014.888</v>
      </c>
      <c r="O139" s="26">
        <v>1014.888</v>
      </c>
      <c r="P139" s="32" t="s">
        <v>258</v>
      </c>
      <c r="Q139" s="33"/>
      <c r="R139" s="42">
        <f t="shared" si="8"/>
        <v>99.633240100910399</v>
      </c>
      <c r="S139" s="42">
        <f t="shared" si="9"/>
        <v>99.907064569086685</v>
      </c>
    </row>
    <row r="140" spans="1:19" s="34" customFormat="1" ht="30.75" customHeight="1" x14ac:dyDescent="0.2">
      <c r="A140" s="121"/>
      <c r="B140" s="121"/>
      <c r="C140" s="121"/>
      <c r="D140" s="28" t="s">
        <v>80</v>
      </c>
      <c r="E140" s="28" t="s">
        <v>84</v>
      </c>
      <c r="F140" s="28" t="s">
        <v>153</v>
      </c>
      <c r="G140" s="28" t="s">
        <v>220</v>
      </c>
      <c r="H140" s="26">
        <v>0</v>
      </c>
      <c r="I140" s="26">
        <v>0</v>
      </c>
      <c r="J140" s="26">
        <v>161.96700000000001</v>
      </c>
      <c r="K140" s="26">
        <v>161.96700000000001</v>
      </c>
      <c r="L140" s="26">
        <v>309.64100000000002</v>
      </c>
      <c r="M140" s="26">
        <v>309.64100000000002</v>
      </c>
      <c r="N140" s="26">
        <v>374.548</v>
      </c>
      <c r="O140" s="26">
        <v>374.548</v>
      </c>
      <c r="P140" s="32" t="s">
        <v>235</v>
      </c>
      <c r="Q140" s="33"/>
      <c r="R140" s="42">
        <f t="shared" si="8"/>
        <v>100</v>
      </c>
      <c r="S140" s="42">
        <f t="shared" si="9"/>
        <v>100</v>
      </c>
    </row>
    <row r="141" spans="1:19" s="34" customFormat="1" ht="25.5" customHeight="1" x14ac:dyDescent="0.2">
      <c r="A141" s="121"/>
      <c r="B141" s="121"/>
      <c r="C141" s="121"/>
      <c r="D141" s="28" t="s">
        <v>80</v>
      </c>
      <c r="E141" s="28" t="s">
        <v>84</v>
      </c>
      <c r="F141" s="28" t="s">
        <v>153</v>
      </c>
      <c r="G141" s="28" t="s">
        <v>130</v>
      </c>
      <c r="H141" s="26">
        <v>31.036000000000001</v>
      </c>
      <c r="I141" s="26">
        <v>31.036000000000001</v>
      </c>
      <c r="J141" s="26">
        <v>15.518000000000001</v>
      </c>
      <c r="K141" s="26">
        <v>15.518000000000001</v>
      </c>
      <c r="L141" s="26">
        <v>31.036000000000001</v>
      </c>
      <c r="M141" s="26">
        <v>31.036000000000001</v>
      </c>
      <c r="N141" s="26">
        <v>31.036000000000001</v>
      </c>
      <c r="O141" s="26">
        <v>31.036000000000001</v>
      </c>
      <c r="P141" s="32" t="s">
        <v>235</v>
      </c>
      <c r="Q141" s="33"/>
      <c r="R141" s="42">
        <f t="shared" ref="R141:R172" si="13">K141/J141*100</f>
        <v>100</v>
      </c>
      <c r="S141" s="42">
        <f t="shared" si="9"/>
        <v>100</v>
      </c>
    </row>
    <row r="142" spans="1:19" s="34" customFormat="1" ht="46.5" customHeight="1" x14ac:dyDescent="0.2">
      <c r="A142" s="121"/>
      <c r="B142" s="121"/>
      <c r="C142" s="121"/>
      <c r="D142" s="28" t="s">
        <v>80</v>
      </c>
      <c r="E142" s="28" t="s">
        <v>84</v>
      </c>
      <c r="F142" s="28" t="s">
        <v>153</v>
      </c>
      <c r="G142" s="28" t="s">
        <v>131</v>
      </c>
      <c r="H142" s="26">
        <v>0.66400000000000003</v>
      </c>
      <c r="I142" s="26"/>
      <c r="J142" s="26">
        <v>0</v>
      </c>
      <c r="K142" s="26">
        <v>0</v>
      </c>
      <c r="L142" s="26">
        <v>0.8</v>
      </c>
      <c r="M142" s="26">
        <v>0</v>
      </c>
      <c r="N142" s="26">
        <v>0.8</v>
      </c>
      <c r="O142" s="26">
        <v>0.8</v>
      </c>
      <c r="P142" s="32" t="s">
        <v>270</v>
      </c>
      <c r="Q142" s="33"/>
      <c r="R142" s="42" t="e">
        <f t="shared" si="13"/>
        <v>#DIV/0!</v>
      </c>
      <c r="S142" s="42">
        <f t="shared" si="9"/>
        <v>0</v>
      </c>
    </row>
    <row r="143" spans="1:19" s="34" customFormat="1" ht="25.5" customHeight="1" x14ac:dyDescent="0.2">
      <c r="A143" s="121"/>
      <c r="B143" s="121"/>
      <c r="C143" s="121"/>
      <c r="D143" s="28" t="s">
        <v>80</v>
      </c>
      <c r="E143" s="28" t="s">
        <v>84</v>
      </c>
      <c r="F143" s="28" t="s">
        <v>159</v>
      </c>
      <c r="G143" s="28" t="s">
        <v>125</v>
      </c>
      <c r="H143" s="26">
        <v>302.3</v>
      </c>
      <c r="I143" s="26">
        <v>302.3</v>
      </c>
      <c r="J143" s="26">
        <v>140.03700000000001</v>
      </c>
      <c r="K143" s="26">
        <v>140.03700000000001</v>
      </c>
      <c r="L143" s="26">
        <v>311.351</v>
      </c>
      <c r="M143" s="26">
        <v>311.34500000000003</v>
      </c>
      <c r="N143" s="26">
        <v>311.351</v>
      </c>
      <c r="O143" s="26">
        <v>311.351</v>
      </c>
      <c r="P143" s="32" t="s">
        <v>235</v>
      </c>
      <c r="Q143" s="33"/>
      <c r="R143" s="42">
        <f t="shared" si="13"/>
        <v>100</v>
      </c>
      <c r="S143" s="42">
        <f t="shared" si="9"/>
        <v>99.998072914492013</v>
      </c>
    </row>
    <row r="144" spans="1:19" s="34" customFormat="1" ht="25.5" customHeight="1" x14ac:dyDescent="0.2">
      <c r="A144" s="121"/>
      <c r="B144" s="121"/>
      <c r="C144" s="121"/>
      <c r="D144" s="28" t="s">
        <v>80</v>
      </c>
      <c r="E144" s="28" t="s">
        <v>84</v>
      </c>
      <c r="F144" s="28" t="s">
        <v>159</v>
      </c>
      <c r="G144" s="28" t="s">
        <v>144</v>
      </c>
      <c r="H144" s="26">
        <v>91.3</v>
      </c>
      <c r="I144" s="26">
        <v>90.075000000000003</v>
      </c>
      <c r="J144" s="26">
        <v>39.271000000000001</v>
      </c>
      <c r="K144" s="26">
        <v>39.271000000000001</v>
      </c>
      <c r="L144" s="26">
        <v>94.028999999999996</v>
      </c>
      <c r="M144" s="26">
        <v>94.028999999999996</v>
      </c>
      <c r="N144" s="26">
        <v>94.028999999999996</v>
      </c>
      <c r="O144" s="26">
        <v>94.028999999999996</v>
      </c>
      <c r="P144" s="32" t="s">
        <v>235</v>
      </c>
      <c r="Q144" s="33"/>
      <c r="R144" s="42">
        <f t="shared" si="13"/>
        <v>100</v>
      </c>
      <c r="S144" s="42">
        <f t="shared" si="9"/>
        <v>100</v>
      </c>
    </row>
    <row r="145" spans="1:19" s="34" customFormat="1" ht="25.5" customHeight="1" x14ac:dyDescent="0.2">
      <c r="A145" s="121"/>
      <c r="B145" s="121"/>
      <c r="C145" s="121"/>
      <c r="D145" s="28" t="s">
        <v>80</v>
      </c>
      <c r="E145" s="28" t="s">
        <v>84</v>
      </c>
      <c r="F145" s="28" t="s">
        <v>162</v>
      </c>
      <c r="G145" s="28" t="s">
        <v>120</v>
      </c>
      <c r="H145" s="26">
        <v>4629.5330000000004</v>
      </c>
      <c r="I145" s="26">
        <v>4629.3950000000004</v>
      </c>
      <c r="J145" s="26">
        <v>2641.6089999999999</v>
      </c>
      <c r="K145" s="26">
        <v>2631.2640000000001</v>
      </c>
      <c r="L145" s="26">
        <v>4737.0839999999998</v>
      </c>
      <c r="M145" s="26">
        <v>4737.0749999999998</v>
      </c>
      <c r="N145" s="26">
        <v>4792.009</v>
      </c>
      <c r="O145" s="26">
        <v>4792.009</v>
      </c>
      <c r="P145" s="32" t="s">
        <v>235</v>
      </c>
      <c r="Q145" s="33"/>
      <c r="R145" s="42">
        <f t="shared" si="13"/>
        <v>99.608382618320888</v>
      </c>
      <c r="S145" s="42">
        <f t="shared" si="9"/>
        <v>99.999810009702173</v>
      </c>
    </row>
    <row r="146" spans="1:19" s="34" customFormat="1" ht="37.5" customHeight="1" x14ac:dyDescent="0.2">
      <c r="A146" s="121"/>
      <c r="B146" s="121"/>
      <c r="C146" s="121"/>
      <c r="D146" s="28" t="s">
        <v>80</v>
      </c>
      <c r="E146" s="28" t="s">
        <v>84</v>
      </c>
      <c r="F146" s="28" t="s">
        <v>221</v>
      </c>
      <c r="G146" s="28" t="s">
        <v>128</v>
      </c>
      <c r="H146" s="26"/>
      <c r="I146" s="26"/>
      <c r="J146" s="26">
        <v>211.67099999999999</v>
      </c>
      <c r="K146" s="26">
        <v>208.43899999999999</v>
      </c>
      <c r="L146" s="26">
        <v>491.31</v>
      </c>
      <c r="M146" s="26">
        <v>445.94799999999998</v>
      </c>
      <c r="N146" s="26">
        <v>0</v>
      </c>
      <c r="O146" s="26">
        <v>0</v>
      </c>
      <c r="P146" s="32" t="s">
        <v>271</v>
      </c>
      <c r="Q146" s="33"/>
      <c r="R146" s="42">
        <f t="shared" si="13"/>
        <v>98.473102125468287</v>
      </c>
      <c r="S146" s="42">
        <f t="shared" si="9"/>
        <v>90.76713276749912</v>
      </c>
    </row>
    <row r="147" spans="1:19" s="34" customFormat="1" ht="40.5" customHeight="1" x14ac:dyDescent="0.2">
      <c r="A147" s="121"/>
      <c r="B147" s="121"/>
      <c r="C147" s="121"/>
      <c r="D147" s="28" t="s">
        <v>80</v>
      </c>
      <c r="E147" s="28" t="s">
        <v>84</v>
      </c>
      <c r="F147" s="28" t="s">
        <v>221</v>
      </c>
      <c r="G147" s="28" t="s">
        <v>132</v>
      </c>
      <c r="H147" s="26"/>
      <c r="I147" s="26"/>
      <c r="J147" s="26">
        <v>53.395000000000003</v>
      </c>
      <c r="K147" s="26">
        <v>53.395000000000003</v>
      </c>
      <c r="L147" s="26">
        <v>148.37700000000001</v>
      </c>
      <c r="M147" s="26">
        <v>125.869</v>
      </c>
      <c r="N147" s="26">
        <v>0</v>
      </c>
      <c r="O147" s="26">
        <v>0</v>
      </c>
      <c r="P147" s="32" t="s">
        <v>272</v>
      </c>
      <c r="Q147" s="33"/>
      <c r="R147" s="42">
        <f t="shared" si="13"/>
        <v>100</v>
      </c>
      <c r="S147" s="42">
        <f t="shared" si="9"/>
        <v>84.830533034095581</v>
      </c>
    </row>
    <row r="148" spans="1:19" s="34" customFormat="1" ht="25.5" customHeight="1" x14ac:dyDescent="0.2">
      <c r="A148" s="121"/>
      <c r="B148" s="121"/>
      <c r="C148" s="121"/>
      <c r="D148" s="28" t="s">
        <v>80</v>
      </c>
      <c r="E148" s="28" t="s">
        <v>84</v>
      </c>
      <c r="F148" s="28" t="s">
        <v>221</v>
      </c>
      <c r="G148" s="28" t="s">
        <v>120</v>
      </c>
      <c r="H148" s="26"/>
      <c r="I148" s="26"/>
      <c r="J148" s="26">
        <v>8.6999999999999993</v>
      </c>
      <c r="K148" s="26">
        <v>8.6999999999999993</v>
      </c>
      <c r="L148" s="26">
        <v>24.843</v>
      </c>
      <c r="M148" s="26">
        <v>24.843</v>
      </c>
      <c r="N148" s="26">
        <v>0</v>
      </c>
      <c r="O148" s="26">
        <v>0</v>
      </c>
      <c r="P148" s="32" t="s">
        <v>235</v>
      </c>
      <c r="Q148" s="33"/>
      <c r="R148" s="42">
        <f t="shared" si="13"/>
        <v>100</v>
      </c>
      <c r="S148" s="42">
        <f t="shared" si="9"/>
        <v>100</v>
      </c>
    </row>
    <row r="149" spans="1:19" s="34" customFormat="1" ht="25.5" customHeight="1" x14ac:dyDescent="0.2">
      <c r="A149" s="121"/>
      <c r="B149" s="121"/>
      <c r="C149" s="121"/>
      <c r="D149" s="28" t="s">
        <v>80</v>
      </c>
      <c r="E149" s="28" t="s">
        <v>84</v>
      </c>
      <c r="F149" s="28" t="s">
        <v>197</v>
      </c>
      <c r="G149" s="28" t="s">
        <v>128</v>
      </c>
      <c r="H149" s="26">
        <v>713.88699999999994</v>
      </c>
      <c r="I149" s="26">
        <v>620.24400000000003</v>
      </c>
      <c r="J149" s="26"/>
      <c r="K149" s="26"/>
      <c r="L149" s="26"/>
      <c r="M149" s="26"/>
      <c r="N149" s="26"/>
      <c r="O149" s="26"/>
      <c r="P149" s="32"/>
      <c r="Q149" s="33"/>
      <c r="R149" s="42" t="e">
        <f t="shared" si="13"/>
        <v>#DIV/0!</v>
      </c>
      <c r="S149" s="42" t="e">
        <f t="shared" ref="S149:S172" si="14">M149/L149*100</f>
        <v>#DIV/0!</v>
      </c>
    </row>
    <row r="150" spans="1:19" s="34" customFormat="1" ht="25.5" customHeight="1" x14ac:dyDescent="0.2">
      <c r="A150" s="121"/>
      <c r="B150" s="121"/>
      <c r="C150" s="121"/>
      <c r="D150" s="28" t="s">
        <v>80</v>
      </c>
      <c r="E150" s="28" t="s">
        <v>84</v>
      </c>
      <c r="F150" s="28" t="s">
        <v>197</v>
      </c>
      <c r="G150" s="28" t="s">
        <v>132</v>
      </c>
      <c r="H150" s="26">
        <v>215.596</v>
      </c>
      <c r="I150" s="26">
        <v>187.31399999999999</v>
      </c>
      <c r="J150" s="26"/>
      <c r="K150" s="26"/>
      <c r="L150" s="26"/>
      <c r="M150" s="26"/>
      <c r="N150" s="26"/>
      <c r="O150" s="26"/>
      <c r="P150" s="32"/>
      <c r="Q150" s="33"/>
      <c r="R150" s="42" t="e">
        <f t="shared" si="13"/>
        <v>#DIV/0!</v>
      </c>
      <c r="S150" s="42" t="e">
        <f t="shared" si="14"/>
        <v>#DIV/0!</v>
      </c>
    </row>
    <row r="151" spans="1:19" s="34" customFormat="1" ht="25.5" customHeight="1" x14ac:dyDescent="0.2">
      <c r="A151" s="121"/>
      <c r="B151" s="121"/>
      <c r="C151" s="121"/>
      <c r="D151" s="28" t="s">
        <v>80</v>
      </c>
      <c r="E151" s="28" t="s">
        <v>84</v>
      </c>
      <c r="F151" s="28" t="s">
        <v>164</v>
      </c>
      <c r="G151" s="28" t="s">
        <v>121</v>
      </c>
      <c r="H151" s="26">
        <v>320.72300000000001</v>
      </c>
      <c r="I151" s="26">
        <v>320.72300000000001</v>
      </c>
      <c r="J151" s="26">
        <v>54.924999999999997</v>
      </c>
      <c r="K151" s="26">
        <v>54.924999999999997</v>
      </c>
      <c r="L151" s="26">
        <v>54.924999999999997</v>
      </c>
      <c r="M151" s="26">
        <v>54.924999999999997</v>
      </c>
      <c r="N151" s="26">
        <v>0</v>
      </c>
      <c r="O151" s="26">
        <v>0</v>
      </c>
      <c r="P151" s="32" t="s">
        <v>235</v>
      </c>
      <c r="Q151" s="33"/>
      <c r="R151" s="42">
        <f t="shared" si="13"/>
        <v>100</v>
      </c>
      <c r="S151" s="42">
        <f t="shared" si="14"/>
        <v>100</v>
      </c>
    </row>
    <row r="152" spans="1:19" s="34" customFormat="1" ht="25.5" customHeight="1" x14ac:dyDescent="0.2">
      <c r="A152" s="121"/>
      <c r="B152" s="121"/>
      <c r="C152" s="121"/>
      <c r="D152" s="28" t="s">
        <v>80</v>
      </c>
      <c r="E152" s="28" t="s">
        <v>84</v>
      </c>
      <c r="F152" s="28" t="s">
        <v>197</v>
      </c>
      <c r="G152" s="28" t="s">
        <v>120</v>
      </c>
      <c r="H152" s="26">
        <v>68.165000000000006</v>
      </c>
      <c r="I152" s="26">
        <v>57.219000000000001</v>
      </c>
      <c r="J152" s="26"/>
      <c r="K152" s="26"/>
      <c r="L152" s="26"/>
      <c r="M152" s="26"/>
      <c r="N152" s="26"/>
      <c r="O152" s="26"/>
      <c r="P152" s="32"/>
      <c r="Q152" s="33"/>
      <c r="R152" s="42" t="e">
        <f t="shared" si="13"/>
        <v>#DIV/0!</v>
      </c>
      <c r="S152" s="42" t="e">
        <f t="shared" si="14"/>
        <v>#DIV/0!</v>
      </c>
    </row>
    <row r="153" spans="1:19" s="34" customFormat="1" ht="25.5" customHeight="1" x14ac:dyDescent="0.2">
      <c r="A153" s="121"/>
      <c r="B153" s="121"/>
      <c r="C153" s="121"/>
      <c r="D153" s="28" t="s">
        <v>80</v>
      </c>
      <c r="E153" s="28" t="s">
        <v>84</v>
      </c>
      <c r="F153" s="28" t="s">
        <v>195</v>
      </c>
      <c r="G153" s="28" t="s">
        <v>128</v>
      </c>
      <c r="H153" s="26">
        <v>836.20600000000002</v>
      </c>
      <c r="I153" s="26">
        <v>836.20600000000002</v>
      </c>
      <c r="J153" s="26"/>
      <c r="K153" s="26"/>
      <c r="L153" s="26"/>
      <c r="M153" s="26"/>
      <c r="N153" s="26"/>
      <c r="O153" s="26"/>
      <c r="P153" s="32"/>
      <c r="Q153" s="33"/>
      <c r="R153" s="42" t="e">
        <f t="shared" si="13"/>
        <v>#DIV/0!</v>
      </c>
      <c r="S153" s="42" t="e">
        <f t="shared" si="14"/>
        <v>#DIV/0!</v>
      </c>
    </row>
    <row r="154" spans="1:19" s="34" customFormat="1" ht="25.5" customHeight="1" x14ac:dyDescent="0.2">
      <c r="A154" s="121"/>
      <c r="B154" s="121"/>
      <c r="C154" s="121"/>
      <c r="D154" s="28" t="s">
        <v>80</v>
      </c>
      <c r="E154" s="28" t="s">
        <v>84</v>
      </c>
      <c r="F154" s="28" t="s">
        <v>195</v>
      </c>
      <c r="G154" s="28" t="s">
        <v>132</v>
      </c>
      <c r="H154" s="26">
        <v>252.53299999999999</v>
      </c>
      <c r="I154" s="26">
        <v>252.53299999999999</v>
      </c>
      <c r="J154" s="26"/>
      <c r="K154" s="26"/>
      <c r="L154" s="26"/>
      <c r="M154" s="26"/>
      <c r="N154" s="26"/>
      <c r="O154" s="26"/>
      <c r="P154" s="32"/>
      <c r="Q154" s="33"/>
      <c r="R154" s="42" t="e">
        <f t="shared" si="13"/>
        <v>#DIV/0!</v>
      </c>
      <c r="S154" s="42" t="e">
        <f t="shared" si="14"/>
        <v>#DIV/0!</v>
      </c>
    </row>
    <row r="155" spans="1:19" s="34" customFormat="1" ht="25.5" customHeight="1" x14ac:dyDescent="0.2">
      <c r="A155" s="121"/>
      <c r="B155" s="121"/>
      <c r="C155" s="121"/>
      <c r="D155" s="28" t="s">
        <v>80</v>
      </c>
      <c r="E155" s="28" t="s">
        <v>84</v>
      </c>
      <c r="F155" s="28" t="s">
        <v>202</v>
      </c>
      <c r="G155" s="28" t="s">
        <v>128</v>
      </c>
      <c r="H155" s="26">
        <v>88.372</v>
      </c>
      <c r="I155" s="26">
        <v>88.372</v>
      </c>
      <c r="J155" s="26"/>
      <c r="K155" s="26"/>
      <c r="L155" s="26"/>
      <c r="M155" s="26"/>
      <c r="N155" s="26"/>
      <c r="O155" s="26"/>
      <c r="P155" s="32"/>
      <c r="Q155" s="33"/>
      <c r="R155" s="42" t="e">
        <f t="shared" si="13"/>
        <v>#DIV/0!</v>
      </c>
      <c r="S155" s="42" t="e">
        <f t="shared" si="14"/>
        <v>#DIV/0!</v>
      </c>
    </row>
    <row r="156" spans="1:19" s="34" customFormat="1" ht="25.5" customHeight="1" x14ac:dyDescent="0.2">
      <c r="A156" s="121"/>
      <c r="B156" s="121"/>
      <c r="C156" s="121"/>
      <c r="D156" s="28" t="s">
        <v>80</v>
      </c>
      <c r="E156" s="28" t="s">
        <v>84</v>
      </c>
      <c r="F156" s="28" t="s">
        <v>202</v>
      </c>
      <c r="G156" s="28" t="s">
        <v>132</v>
      </c>
      <c r="H156" s="26">
        <v>26.69</v>
      </c>
      <c r="I156" s="26">
        <v>26.69</v>
      </c>
      <c r="J156" s="26"/>
      <c r="K156" s="26"/>
      <c r="L156" s="26"/>
      <c r="M156" s="26"/>
      <c r="N156" s="26"/>
      <c r="O156" s="26"/>
      <c r="P156" s="32"/>
      <c r="Q156" s="33"/>
      <c r="R156" s="42" t="e">
        <f t="shared" si="13"/>
        <v>#DIV/0!</v>
      </c>
      <c r="S156" s="42" t="e">
        <f t="shared" si="14"/>
        <v>#DIV/0!</v>
      </c>
    </row>
    <row r="157" spans="1:19" s="34" customFormat="1" ht="25.5" customHeight="1" x14ac:dyDescent="0.2">
      <c r="A157" s="121"/>
      <c r="B157" s="121"/>
      <c r="C157" s="121"/>
      <c r="D157" s="28" t="s">
        <v>80</v>
      </c>
      <c r="E157" s="28" t="s">
        <v>84</v>
      </c>
      <c r="F157" s="28" t="s">
        <v>196</v>
      </c>
      <c r="G157" s="28" t="s">
        <v>125</v>
      </c>
      <c r="H157" s="26">
        <v>470.49900000000002</v>
      </c>
      <c r="I157" s="26">
        <v>470.49900000000002</v>
      </c>
      <c r="J157" s="26"/>
      <c r="K157" s="26"/>
      <c r="L157" s="26"/>
      <c r="M157" s="26"/>
      <c r="N157" s="26"/>
      <c r="O157" s="26"/>
      <c r="P157" s="32"/>
      <c r="Q157" s="33"/>
      <c r="R157" s="42" t="e">
        <f t="shared" si="13"/>
        <v>#DIV/0!</v>
      </c>
      <c r="S157" s="42" t="e">
        <f t="shared" si="14"/>
        <v>#DIV/0!</v>
      </c>
    </row>
    <row r="158" spans="1:19" s="34" customFormat="1" ht="25.5" customHeight="1" x14ac:dyDescent="0.2">
      <c r="A158" s="121"/>
      <c r="B158" s="121"/>
      <c r="C158" s="121"/>
      <c r="D158" s="28" t="s">
        <v>80</v>
      </c>
      <c r="E158" s="28" t="s">
        <v>84</v>
      </c>
      <c r="F158" s="28" t="s">
        <v>196</v>
      </c>
      <c r="G158" s="28" t="s">
        <v>144</v>
      </c>
      <c r="H158" s="26">
        <v>142.09100000000001</v>
      </c>
      <c r="I158" s="26">
        <v>142.09100000000001</v>
      </c>
      <c r="J158" s="26"/>
      <c r="K158" s="26"/>
      <c r="L158" s="26"/>
      <c r="M158" s="26"/>
      <c r="N158" s="26"/>
      <c r="O158" s="26"/>
      <c r="P158" s="32"/>
      <c r="Q158" s="33"/>
      <c r="R158" s="42" t="e">
        <f t="shared" si="13"/>
        <v>#DIV/0!</v>
      </c>
      <c r="S158" s="42" t="e">
        <f t="shared" si="14"/>
        <v>#DIV/0!</v>
      </c>
    </row>
    <row r="159" spans="1:19" s="34" customFormat="1" ht="48.75" customHeight="1" x14ac:dyDescent="0.2">
      <c r="A159" s="121"/>
      <c r="B159" s="121"/>
      <c r="C159" s="121"/>
      <c r="D159" s="28" t="s">
        <v>80</v>
      </c>
      <c r="E159" s="28" t="s">
        <v>84</v>
      </c>
      <c r="F159" s="28" t="s">
        <v>158</v>
      </c>
      <c r="G159" s="28" t="s">
        <v>121</v>
      </c>
      <c r="H159" s="26">
        <v>3.22</v>
      </c>
      <c r="I159" s="26">
        <v>3.22</v>
      </c>
      <c r="J159" s="26">
        <v>0</v>
      </c>
      <c r="K159" s="26">
        <v>0</v>
      </c>
      <c r="L159" s="26">
        <v>1.2929999999999999</v>
      </c>
      <c r="M159" s="26">
        <v>0</v>
      </c>
      <c r="N159" s="26">
        <v>3.593</v>
      </c>
      <c r="O159" s="26">
        <v>3.593</v>
      </c>
      <c r="P159" s="32" t="s">
        <v>270</v>
      </c>
      <c r="Q159" s="33"/>
      <c r="R159" s="42" t="e">
        <f t="shared" si="13"/>
        <v>#DIV/0!</v>
      </c>
      <c r="S159" s="42">
        <f t="shared" si="14"/>
        <v>0</v>
      </c>
    </row>
    <row r="160" spans="1:19" s="34" customFormat="1" ht="35.25" customHeight="1" x14ac:dyDescent="0.2">
      <c r="A160" s="121"/>
      <c r="B160" s="121"/>
      <c r="C160" s="121"/>
      <c r="D160" s="28" t="s">
        <v>80</v>
      </c>
      <c r="E160" s="28" t="s">
        <v>84</v>
      </c>
      <c r="F160" s="28" t="s">
        <v>202</v>
      </c>
      <c r="G160" s="28" t="s">
        <v>125</v>
      </c>
      <c r="H160" s="26">
        <v>2.2679999999999998</v>
      </c>
      <c r="I160" s="26">
        <v>2.2679999999999998</v>
      </c>
      <c r="J160" s="26"/>
      <c r="K160" s="26"/>
      <c r="L160" s="26"/>
      <c r="M160" s="26"/>
      <c r="N160" s="26"/>
      <c r="O160" s="26"/>
      <c r="P160" s="32"/>
      <c r="Q160" s="33"/>
      <c r="R160" s="42" t="e">
        <f t="shared" si="13"/>
        <v>#DIV/0!</v>
      </c>
      <c r="S160" s="42" t="e">
        <f t="shared" si="14"/>
        <v>#DIV/0!</v>
      </c>
    </row>
    <row r="161" spans="1:19" s="34" customFormat="1" ht="35.25" customHeight="1" x14ac:dyDescent="0.2">
      <c r="A161" s="121"/>
      <c r="B161" s="121"/>
      <c r="C161" s="121"/>
      <c r="D161" s="28" t="s">
        <v>80</v>
      </c>
      <c r="E161" s="28" t="s">
        <v>84</v>
      </c>
      <c r="F161" s="28" t="s">
        <v>202</v>
      </c>
      <c r="G161" s="28" t="s">
        <v>144</v>
      </c>
      <c r="H161" s="26">
        <v>0.68500000000000005</v>
      </c>
      <c r="I161" s="26">
        <v>0.68500000000000005</v>
      </c>
      <c r="J161" s="26"/>
      <c r="K161" s="26"/>
      <c r="L161" s="26"/>
      <c r="M161" s="26"/>
      <c r="N161" s="26"/>
      <c r="O161" s="26"/>
      <c r="P161" s="32"/>
      <c r="Q161" s="33"/>
      <c r="R161" s="42" t="e">
        <f t="shared" si="13"/>
        <v>#DIV/0!</v>
      </c>
      <c r="S161" s="42" t="e">
        <f t="shared" si="14"/>
        <v>#DIV/0!</v>
      </c>
    </row>
    <row r="162" spans="1:19" s="34" customFormat="1" ht="35.25" customHeight="1" x14ac:dyDescent="0.2">
      <c r="A162" s="121"/>
      <c r="B162" s="121"/>
      <c r="C162" s="121"/>
      <c r="D162" s="28" t="s">
        <v>80</v>
      </c>
      <c r="E162" s="28" t="s">
        <v>84</v>
      </c>
      <c r="F162" s="28" t="s">
        <v>195</v>
      </c>
      <c r="G162" s="28" t="s">
        <v>120</v>
      </c>
      <c r="H162" s="26">
        <v>50.091999999999999</v>
      </c>
      <c r="I162" s="26">
        <v>50.091999999999999</v>
      </c>
      <c r="J162" s="26"/>
      <c r="K162" s="26"/>
      <c r="L162" s="26"/>
      <c r="M162" s="26"/>
      <c r="N162" s="26"/>
      <c r="O162" s="26"/>
      <c r="P162" s="32"/>
      <c r="Q162" s="33"/>
      <c r="R162" s="42" t="e">
        <f t="shared" si="13"/>
        <v>#DIV/0!</v>
      </c>
      <c r="S162" s="42" t="e">
        <f t="shared" si="14"/>
        <v>#DIV/0!</v>
      </c>
    </row>
    <row r="163" spans="1:19" s="34" customFormat="1" ht="25.5" customHeight="1" x14ac:dyDescent="0.2">
      <c r="A163" s="121"/>
      <c r="B163" s="121"/>
      <c r="C163" s="121"/>
      <c r="D163" s="28" t="s">
        <v>80</v>
      </c>
      <c r="E163" s="28" t="s">
        <v>84</v>
      </c>
      <c r="F163" s="28" t="s">
        <v>203</v>
      </c>
      <c r="G163" s="28" t="s">
        <v>125</v>
      </c>
      <c r="H163" s="26">
        <v>36.29</v>
      </c>
      <c r="I163" s="26">
        <v>36.29</v>
      </c>
      <c r="J163" s="26"/>
      <c r="K163" s="26"/>
      <c r="L163" s="26"/>
      <c r="M163" s="26"/>
      <c r="N163" s="26"/>
      <c r="O163" s="26"/>
      <c r="P163" s="32"/>
      <c r="Q163" s="64"/>
      <c r="R163" s="42" t="e">
        <f t="shared" si="13"/>
        <v>#DIV/0!</v>
      </c>
      <c r="S163" s="42" t="e">
        <f t="shared" si="14"/>
        <v>#DIV/0!</v>
      </c>
    </row>
    <row r="164" spans="1:19" s="34" customFormat="1" ht="25.5" customHeight="1" x14ac:dyDescent="0.2">
      <c r="A164" s="121"/>
      <c r="B164" s="121"/>
      <c r="C164" s="120"/>
      <c r="D164" s="28" t="s">
        <v>80</v>
      </c>
      <c r="E164" s="28" t="s">
        <v>84</v>
      </c>
      <c r="F164" s="28" t="s">
        <v>203</v>
      </c>
      <c r="G164" s="28" t="s">
        <v>144</v>
      </c>
      <c r="H164" s="26">
        <v>10.96</v>
      </c>
      <c r="I164" s="26">
        <v>10.96</v>
      </c>
      <c r="J164" s="26"/>
      <c r="K164" s="26"/>
      <c r="L164" s="26"/>
      <c r="M164" s="26"/>
      <c r="N164" s="26"/>
      <c r="O164" s="26"/>
      <c r="P164" s="32"/>
      <c r="Q164" s="64"/>
      <c r="R164" s="42" t="e">
        <f t="shared" si="13"/>
        <v>#DIV/0!</v>
      </c>
      <c r="S164" s="42" t="e">
        <f t="shared" si="14"/>
        <v>#DIV/0!</v>
      </c>
    </row>
    <row r="165" spans="1:19" s="34" customFormat="1" ht="47.25" customHeight="1" x14ac:dyDescent="0.2">
      <c r="A165" s="120"/>
      <c r="B165" s="120"/>
      <c r="C165" s="67" t="s">
        <v>183</v>
      </c>
      <c r="D165" s="28"/>
      <c r="E165" s="28"/>
      <c r="F165" s="28"/>
      <c r="G165" s="28"/>
      <c r="H165" s="25">
        <f t="shared" ref="H165:M165" si="15">SUM(H127:H164)</f>
        <v>60960.951000000008</v>
      </c>
      <c r="I165" s="25">
        <f t="shared" si="15"/>
        <v>60702.239999999998</v>
      </c>
      <c r="J165" s="25">
        <f t="shared" si="15"/>
        <v>32331.57</v>
      </c>
      <c r="K165" s="25">
        <f t="shared" si="15"/>
        <v>32028.758999999998</v>
      </c>
      <c r="L165" s="25">
        <f t="shared" si="15"/>
        <v>67653.149999999994</v>
      </c>
      <c r="M165" s="25">
        <f t="shared" si="15"/>
        <v>66970.90300000002</v>
      </c>
      <c r="N165" s="25">
        <f>SUM(N127:N162)</f>
        <v>64484.109000000004</v>
      </c>
      <c r="O165" s="25">
        <f>SUM(O127:O162)</f>
        <v>64484.109000000004</v>
      </c>
      <c r="P165" s="68" t="s">
        <v>259</v>
      </c>
      <c r="Q165" s="64"/>
      <c r="R165" s="42">
        <f t="shared" si="13"/>
        <v>99.063420056619577</v>
      </c>
      <c r="S165" s="42">
        <f t="shared" si="14"/>
        <v>98.991551760708887</v>
      </c>
    </row>
    <row r="166" spans="1:19" s="34" customFormat="1" ht="25.5" customHeight="1" x14ac:dyDescent="0.2">
      <c r="A166" s="119" t="s">
        <v>182</v>
      </c>
      <c r="B166" s="119" t="s">
        <v>181</v>
      </c>
      <c r="C166" s="119" t="s">
        <v>77</v>
      </c>
      <c r="D166" s="28" t="s">
        <v>227</v>
      </c>
      <c r="E166" s="28" t="s">
        <v>103</v>
      </c>
      <c r="F166" s="28" t="s">
        <v>198</v>
      </c>
      <c r="G166" s="28" t="s">
        <v>121</v>
      </c>
      <c r="H166" s="26">
        <v>152.5</v>
      </c>
      <c r="I166" s="26">
        <v>0</v>
      </c>
      <c r="J166" s="26"/>
      <c r="K166" s="26"/>
      <c r="L166" s="26"/>
      <c r="M166" s="26"/>
      <c r="N166" s="26"/>
      <c r="O166" s="26"/>
      <c r="P166" s="32"/>
      <c r="Q166" s="64"/>
      <c r="R166" s="42" t="e">
        <f t="shared" si="13"/>
        <v>#DIV/0!</v>
      </c>
      <c r="S166" s="42" t="e">
        <f t="shared" si="14"/>
        <v>#DIV/0!</v>
      </c>
    </row>
    <row r="167" spans="1:19" s="34" customFormat="1" ht="25.5" customHeight="1" x14ac:dyDescent="0.2">
      <c r="A167" s="121"/>
      <c r="B167" s="121"/>
      <c r="C167" s="121"/>
      <c r="D167" s="28" t="s">
        <v>80</v>
      </c>
      <c r="E167" s="28" t="s">
        <v>103</v>
      </c>
      <c r="F167" s="28" t="s">
        <v>199</v>
      </c>
      <c r="G167" s="28" t="s">
        <v>121</v>
      </c>
      <c r="H167" s="26">
        <v>27.5</v>
      </c>
      <c r="I167" s="26">
        <v>10.65</v>
      </c>
      <c r="J167" s="26"/>
      <c r="K167" s="26"/>
      <c r="L167" s="26">
        <v>100.63</v>
      </c>
      <c r="M167" s="26">
        <v>100.63</v>
      </c>
      <c r="N167" s="26"/>
      <c r="O167" s="26"/>
      <c r="P167" s="32" t="s">
        <v>235</v>
      </c>
      <c r="Q167" s="64"/>
      <c r="R167" s="42" t="e">
        <f t="shared" si="13"/>
        <v>#DIV/0!</v>
      </c>
      <c r="S167" s="42">
        <f t="shared" si="14"/>
        <v>100</v>
      </c>
    </row>
    <row r="168" spans="1:19" s="34" customFormat="1" ht="25.5" customHeight="1" x14ac:dyDescent="0.2">
      <c r="A168" s="121"/>
      <c r="B168" s="121"/>
      <c r="C168" s="121"/>
      <c r="D168" s="28" t="s">
        <v>80</v>
      </c>
      <c r="E168" s="28" t="s">
        <v>103</v>
      </c>
      <c r="F168" s="28" t="s">
        <v>199</v>
      </c>
      <c r="G168" s="28" t="s">
        <v>123</v>
      </c>
      <c r="H168" s="26"/>
      <c r="I168" s="26"/>
      <c r="J168" s="26"/>
      <c r="K168" s="26"/>
      <c r="L168" s="26">
        <v>15.09</v>
      </c>
      <c r="M168" s="26">
        <v>15.09</v>
      </c>
      <c r="N168" s="26"/>
      <c r="O168" s="26"/>
      <c r="P168" s="32" t="s">
        <v>235</v>
      </c>
      <c r="Q168" s="64"/>
      <c r="R168" s="42"/>
      <c r="S168" s="42">
        <f t="shared" si="14"/>
        <v>100</v>
      </c>
    </row>
    <row r="169" spans="1:19" s="34" customFormat="1" ht="25.5" customHeight="1" x14ac:dyDescent="0.2">
      <c r="A169" s="121"/>
      <c r="B169" s="121"/>
      <c r="C169" s="121"/>
      <c r="D169" s="28" t="s">
        <v>227</v>
      </c>
      <c r="E169" s="28" t="s">
        <v>103</v>
      </c>
      <c r="F169" s="28" t="s">
        <v>228</v>
      </c>
      <c r="G169" s="28" t="s">
        <v>121</v>
      </c>
      <c r="H169" s="26"/>
      <c r="I169" s="26"/>
      <c r="J169" s="26">
        <v>26.78</v>
      </c>
      <c r="K169" s="26">
        <v>26.78</v>
      </c>
      <c r="L169" s="26">
        <v>36.78</v>
      </c>
      <c r="M169" s="26">
        <v>36.78</v>
      </c>
      <c r="N169" s="26">
        <v>152.5</v>
      </c>
      <c r="O169" s="26">
        <v>152.5</v>
      </c>
      <c r="P169" s="32" t="s">
        <v>235</v>
      </c>
      <c r="Q169" s="64"/>
      <c r="R169" s="42"/>
      <c r="S169" s="42">
        <f t="shared" si="14"/>
        <v>100</v>
      </c>
    </row>
    <row r="170" spans="1:19" s="34" customFormat="1" ht="25.5" customHeight="1" x14ac:dyDescent="0.2">
      <c r="A170" s="121"/>
      <c r="B170" s="121"/>
      <c r="C170" s="121"/>
      <c r="D170" s="28" t="s">
        <v>80</v>
      </c>
      <c r="E170" s="28" t="s">
        <v>103</v>
      </c>
      <c r="F170" s="28" t="s">
        <v>200</v>
      </c>
      <c r="G170" s="28" t="s">
        <v>121</v>
      </c>
      <c r="H170" s="26">
        <v>300</v>
      </c>
      <c r="I170" s="26">
        <v>300</v>
      </c>
      <c r="J170" s="26"/>
      <c r="K170" s="26">
        <v>0</v>
      </c>
      <c r="L170" s="26">
        <v>252.5</v>
      </c>
      <c r="M170" s="26">
        <v>252.5</v>
      </c>
      <c r="N170" s="26">
        <v>327.5</v>
      </c>
      <c r="O170" s="26">
        <v>327.5</v>
      </c>
      <c r="P170" s="32" t="s">
        <v>235</v>
      </c>
      <c r="Q170" s="64"/>
      <c r="R170" s="42" t="e">
        <f t="shared" si="13"/>
        <v>#DIV/0!</v>
      </c>
      <c r="S170" s="42">
        <f t="shared" si="14"/>
        <v>100</v>
      </c>
    </row>
    <row r="171" spans="1:19" s="34" customFormat="1" ht="25.5" customHeight="1" x14ac:dyDescent="0.2">
      <c r="A171" s="121"/>
      <c r="B171" s="121"/>
      <c r="C171" s="120"/>
      <c r="D171" s="28" t="s">
        <v>80</v>
      </c>
      <c r="E171" s="28" t="s">
        <v>103</v>
      </c>
      <c r="F171" s="28" t="s">
        <v>200</v>
      </c>
      <c r="G171" s="28" t="s">
        <v>123</v>
      </c>
      <c r="H171" s="26">
        <v>0</v>
      </c>
      <c r="I171" s="26">
        <v>0</v>
      </c>
      <c r="J171" s="26">
        <v>68.5</v>
      </c>
      <c r="K171" s="26">
        <v>68.5</v>
      </c>
      <c r="L171" s="26">
        <v>75</v>
      </c>
      <c r="M171" s="26">
        <v>75</v>
      </c>
      <c r="N171" s="26">
        <v>0</v>
      </c>
      <c r="O171" s="26">
        <v>0</v>
      </c>
      <c r="P171" s="32" t="s">
        <v>235</v>
      </c>
      <c r="Q171" s="64"/>
      <c r="R171" s="42">
        <f t="shared" si="13"/>
        <v>100</v>
      </c>
      <c r="S171" s="42">
        <f t="shared" si="14"/>
        <v>100</v>
      </c>
    </row>
    <row r="172" spans="1:19" s="39" customFormat="1" ht="52.5" customHeight="1" x14ac:dyDescent="0.2">
      <c r="A172" s="120"/>
      <c r="B172" s="120"/>
      <c r="C172" s="40" t="s">
        <v>183</v>
      </c>
      <c r="D172" s="66"/>
      <c r="E172" s="66"/>
      <c r="F172" s="66"/>
      <c r="G172" s="66"/>
      <c r="H172" s="66">
        <f>H170+H167+H166+H171</f>
        <v>480</v>
      </c>
      <c r="I172" s="66">
        <f>I170+I167+I166+I171</f>
        <v>310.64999999999998</v>
      </c>
      <c r="J172" s="66">
        <f t="shared" ref="J172:O172" si="16">SUM(J166:J171)</f>
        <v>95.28</v>
      </c>
      <c r="K172" s="66">
        <f t="shared" si="16"/>
        <v>95.28</v>
      </c>
      <c r="L172" s="66">
        <f t="shared" si="16"/>
        <v>480</v>
      </c>
      <c r="M172" s="66">
        <f t="shared" si="16"/>
        <v>480</v>
      </c>
      <c r="N172" s="66">
        <f t="shared" si="16"/>
        <v>480</v>
      </c>
      <c r="O172" s="66">
        <f t="shared" si="16"/>
        <v>480</v>
      </c>
      <c r="P172" s="68" t="s">
        <v>235</v>
      </c>
      <c r="R172" s="42">
        <f t="shared" si="13"/>
        <v>100</v>
      </c>
      <c r="S172" s="42">
        <f t="shared" si="14"/>
        <v>100</v>
      </c>
    </row>
    <row r="173" spans="1:19" s="34" customFormat="1" ht="15" customHeight="1" x14ac:dyDescent="0.2">
      <c r="A173" s="31" t="s">
        <v>10</v>
      </c>
      <c r="B173" s="31"/>
      <c r="C173" s="31"/>
      <c r="D173" s="28"/>
      <c r="E173" s="28"/>
      <c r="F173" s="28"/>
      <c r="G173" s="28"/>
      <c r="H173" s="26"/>
      <c r="I173" s="26"/>
      <c r="J173" s="26"/>
      <c r="K173" s="26"/>
      <c r="L173" s="26"/>
      <c r="M173" s="26"/>
      <c r="N173" s="26"/>
      <c r="O173" s="26"/>
      <c r="P173" s="33"/>
      <c r="R173" s="42"/>
      <c r="S173" s="42"/>
    </row>
    <row r="174" spans="1:19" ht="15" customHeight="1" x14ac:dyDescent="0.2"/>
    <row r="176" spans="1:19" ht="20.25" customHeight="1" x14ac:dyDescent="0.25">
      <c r="A176" s="113" t="s">
        <v>230</v>
      </c>
      <c r="B176" s="113"/>
      <c r="C176" s="113"/>
      <c r="D176" s="113"/>
      <c r="E176" s="113"/>
      <c r="F176" s="113"/>
      <c r="G176" s="113"/>
      <c r="H176" s="113"/>
      <c r="K176" s="65" t="s">
        <v>231</v>
      </c>
    </row>
    <row r="180" spans="1:13" x14ac:dyDescent="0.2">
      <c r="A180" s="34"/>
      <c r="C180" s="24" t="s">
        <v>232</v>
      </c>
      <c r="D180" s="58"/>
      <c r="J180" s="58"/>
      <c r="K180" s="58"/>
      <c r="L180" s="58"/>
      <c r="M180" s="58"/>
    </row>
    <row r="181" spans="1:13" x14ac:dyDescent="0.2">
      <c r="A181" s="34"/>
      <c r="C181" s="24" t="s">
        <v>171</v>
      </c>
      <c r="J181" s="58"/>
      <c r="K181" s="58"/>
      <c r="L181" s="58"/>
      <c r="M181" s="58"/>
    </row>
  </sheetData>
  <autoFilter ref="A11:S173"/>
  <mergeCells count="44">
    <mergeCell ref="M4:P4"/>
    <mergeCell ref="E9:E11"/>
    <mergeCell ref="N1:P1"/>
    <mergeCell ref="N2:P2"/>
    <mergeCell ref="A6:P6"/>
    <mergeCell ref="H8:O8"/>
    <mergeCell ref="D8:G8"/>
    <mergeCell ref="P8:P11"/>
    <mergeCell ref="A16:A111"/>
    <mergeCell ref="B16:B111"/>
    <mergeCell ref="A113:A116"/>
    <mergeCell ref="A117:A124"/>
    <mergeCell ref="C166:C171"/>
    <mergeCell ref="B166:B172"/>
    <mergeCell ref="A166:A172"/>
    <mergeCell ref="C20:C31"/>
    <mergeCell ref="C34:C67"/>
    <mergeCell ref="C70:C85"/>
    <mergeCell ref="A12:A15"/>
    <mergeCell ref="B12:B15"/>
    <mergeCell ref="C8:C11"/>
    <mergeCell ref="B8:B11"/>
    <mergeCell ref="N9:O9"/>
    <mergeCell ref="J10:K10"/>
    <mergeCell ref="J9:M9"/>
    <mergeCell ref="F9:F11"/>
    <mergeCell ref="D9:D11"/>
    <mergeCell ref="A176:H176"/>
    <mergeCell ref="B113:B116"/>
    <mergeCell ref="A8:A11"/>
    <mergeCell ref="C18:O18"/>
    <mergeCell ref="C33:P33"/>
    <mergeCell ref="L10:M10"/>
    <mergeCell ref="G9:G11"/>
    <mergeCell ref="H10:I10"/>
    <mergeCell ref="A125:A165"/>
    <mergeCell ref="B125:B165"/>
    <mergeCell ref="C88:C89"/>
    <mergeCell ref="C99:C109"/>
    <mergeCell ref="B117:B123"/>
    <mergeCell ref="C69:P69"/>
    <mergeCell ref="C127:C164"/>
    <mergeCell ref="C87:P87"/>
    <mergeCell ref="C91:P91"/>
  </mergeCells>
  <conditionalFormatting sqref="I165:O165 H171:O171 H162:O162 L157:O157 L149:M150 L138:O138 L142:O144 L129:O129 L133:O134 K133:M133 H155:O156 H140:O140 H147:O148 L120:L171 L92:L118 L100:O111 J32 K31:K32 L32:O32 H19:I32 H88:O90 H92:K171 N31:O31 H70:O86 H34:O68 J19:O30 M92:O171 H12:O17">
    <cfRule type="cellIs" dxfId="9" priority="17" stopIfTrue="1" operator="equal">
      <formula>0</formula>
    </cfRule>
  </conditionalFormatting>
  <conditionalFormatting sqref="H166:I170">
    <cfRule type="cellIs" dxfId="8" priority="3" stopIfTrue="1" operator="equal">
      <formula>0</formula>
    </cfRule>
  </conditionalFormatting>
  <conditionalFormatting sqref="H171:I171">
    <cfRule type="cellIs" dxfId="7" priority="2" stopIfTrue="1" operator="equal">
      <formula>0</formula>
    </cfRule>
  </conditionalFormatting>
  <conditionalFormatting sqref="L31:M31">
    <cfRule type="cellIs" dxfId="6" priority="1" stopIfTrue="1" operator="equal">
      <formula>0</formula>
    </cfRule>
  </conditionalFormatting>
  <pageMargins left="0.94488188976377963" right="0.19685039370078741" top="0.94488188976377963" bottom="0.74803149606299213" header="0.31496062992125984" footer="0.31496062992125984"/>
  <pageSetup paperSize="9" scale="59" fitToHeight="7" orientation="landscape" r:id="rId1"/>
  <rowBreaks count="2" manualBreakCount="2">
    <brk id="32" max="15" man="1"/>
    <brk id="110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59"/>
  <sheetViews>
    <sheetView view="pageBreakPreview" topLeftCell="A25" zoomScaleNormal="100" zoomScaleSheetLayoutView="100" workbookViewId="0">
      <selection activeCell="N11" sqref="N11"/>
    </sheetView>
  </sheetViews>
  <sheetFormatPr defaultRowHeight="12.75" x14ac:dyDescent="0.2"/>
  <cols>
    <col min="1" max="1" width="14.85546875" style="24" customWidth="1"/>
    <col min="2" max="2" width="26.28515625" style="24" customWidth="1"/>
    <col min="3" max="3" width="24.140625" style="24" customWidth="1"/>
    <col min="4" max="6" width="11.28515625" style="24" customWidth="1"/>
    <col min="7" max="7" width="11.42578125" style="24" customWidth="1"/>
    <col min="8" max="11" width="11.28515625" style="24" customWidth="1"/>
    <col min="12" max="12" width="17.140625" style="24" customWidth="1"/>
    <col min="13" max="13" width="10.5703125" style="24" bestFit="1" customWidth="1"/>
    <col min="14" max="16384" width="9.140625" style="24"/>
  </cols>
  <sheetData>
    <row r="1" spans="1:14" ht="15.75" x14ac:dyDescent="0.25">
      <c r="J1" s="133" t="s">
        <v>177</v>
      </c>
      <c r="K1" s="133"/>
      <c r="L1" s="133"/>
    </row>
    <row r="2" spans="1:14" ht="43.5" customHeight="1" x14ac:dyDescent="0.25">
      <c r="J2" s="134" t="s">
        <v>69</v>
      </c>
      <c r="K2" s="134"/>
      <c r="L2" s="134"/>
    </row>
    <row r="3" spans="1:14" ht="28.5" customHeight="1" x14ac:dyDescent="0.25">
      <c r="A3" s="113" t="s">
        <v>73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14" ht="15.75" x14ac:dyDescent="0.25">
      <c r="J4" s="35"/>
      <c r="K4" s="35"/>
      <c r="L4" s="44" t="s">
        <v>12</v>
      </c>
    </row>
    <row r="5" spans="1:14" ht="29.25" customHeight="1" x14ac:dyDescent="0.2">
      <c r="A5" s="129" t="s">
        <v>21</v>
      </c>
      <c r="B5" s="129" t="s">
        <v>68</v>
      </c>
      <c r="C5" s="129" t="s">
        <v>44</v>
      </c>
      <c r="D5" s="45"/>
      <c r="E5" s="45"/>
      <c r="F5" s="100" t="s">
        <v>223</v>
      </c>
      <c r="G5" s="100"/>
      <c r="H5" s="100"/>
      <c r="I5" s="100"/>
      <c r="J5" s="100" t="s">
        <v>2</v>
      </c>
      <c r="K5" s="100"/>
      <c r="L5" s="129" t="s">
        <v>43</v>
      </c>
    </row>
    <row r="6" spans="1:14" ht="12.75" customHeight="1" x14ac:dyDescent="0.2">
      <c r="A6" s="129"/>
      <c r="B6" s="129"/>
      <c r="C6" s="129"/>
      <c r="D6" s="100" t="s">
        <v>222</v>
      </c>
      <c r="E6" s="100"/>
      <c r="F6" s="100" t="s">
        <v>18</v>
      </c>
      <c r="G6" s="100"/>
      <c r="H6" s="100" t="s">
        <v>19</v>
      </c>
      <c r="I6" s="100"/>
      <c r="J6" s="100"/>
      <c r="K6" s="100"/>
      <c r="L6" s="129"/>
    </row>
    <row r="7" spans="1:14" x14ac:dyDescent="0.2">
      <c r="A7" s="129"/>
      <c r="B7" s="129"/>
      <c r="C7" s="129"/>
      <c r="D7" s="45" t="s">
        <v>3</v>
      </c>
      <c r="E7" s="45" t="s">
        <v>4</v>
      </c>
      <c r="F7" s="45" t="s">
        <v>3</v>
      </c>
      <c r="G7" s="45" t="s">
        <v>4</v>
      </c>
      <c r="H7" s="45" t="s">
        <v>3</v>
      </c>
      <c r="I7" s="45" t="s">
        <v>4</v>
      </c>
      <c r="J7" s="61" t="s">
        <v>216</v>
      </c>
      <c r="K7" s="61" t="s">
        <v>217</v>
      </c>
      <c r="L7" s="129"/>
    </row>
    <row r="8" spans="1:14" ht="13.5" customHeight="1" x14ac:dyDescent="0.2">
      <c r="A8" s="137" t="s">
        <v>67</v>
      </c>
      <c r="B8" s="137" t="s">
        <v>172</v>
      </c>
      <c r="C8" s="31" t="s">
        <v>22</v>
      </c>
      <c r="D8" s="30">
        <f t="shared" ref="D8:K8" si="0">SUM(D10:D15)</f>
        <v>858330.75</v>
      </c>
      <c r="E8" s="30">
        <f t="shared" si="0"/>
        <v>835126.93399999989</v>
      </c>
      <c r="F8" s="30">
        <f>SUM(F10:F15)</f>
        <v>469872.81599999999</v>
      </c>
      <c r="G8" s="30">
        <f t="shared" si="0"/>
        <v>468224.85099999997</v>
      </c>
      <c r="H8" s="30">
        <f>SUM(H10:H15)</f>
        <v>945449.77899999998</v>
      </c>
      <c r="I8" s="30">
        <f t="shared" si="0"/>
        <v>936112.96299999999</v>
      </c>
      <c r="J8" s="30">
        <f t="shared" si="0"/>
        <v>886994.84199999995</v>
      </c>
      <c r="K8" s="30">
        <f t="shared" si="0"/>
        <v>885523.82499999995</v>
      </c>
      <c r="L8" s="46"/>
      <c r="N8" s="62">
        <f>I8/H8*100</f>
        <v>99.012447175155557</v>
      </c>
    </row>
    <row r="9" spans="1:14" x14ac:dyDescent="0.2">
      <c r="A9" s="137"/>
      <c r="B9" s="137"/>
      <c r="C9" s="31" t="s">
        <v>23</v>
      </c>
      <c r="D9" s="47"/>
      <c r="E9" s="47"/>
      <c r="F9" s="47"/>
      <c r="G9" s="47"/>
      <c r="H9" s="47"/>
      <c r="I9" s="47"/>
      <c r="J9" s="47"/>
      <c r="K9" s="47"/>
      <c r="L9" s="46"/>
      <c r="N9" s="62"/>
    </row>
    <row r="10" spans="1:14" x14ac:dyDescent="0.2">
      <c r="A10" s="137"/>
      <c r="B10" s="137"/>
      <c r="C10" s="31" t="s">
        <v>13</v>
      </c>
      <c r="D10" s="29">
        <f t="shared" ref="D10:I10" si="1">D18+D26+D34</f>
        <v>16969.88</v>
      </c>
      <c r="E10" s="29">
        <f t="shared" si="1"/>
        <v>14943.691000000001</v>
      </c>
      <c r="F10" s="29">
        <f t="shared" si="1"/>
        <v>21595.941999999999</v>
      </c>
      <c r="G10" s="29">
        <f t="shared" si="1"/>
        <v>21595.941999999999</v>
      </c>
      <c r="H10" s="29">
        <f t="shared" si="1"/>
        <v>42941.987000000001</v>
      </c>
      <c r="I10" s="29">
        <f t="shared" si="1"/>
        <v>41704.762999999999</v>
      </c>
      <c r="J10" s="29">
        <f t="shared" ref="J10:K12" si="2">J18+J26+J34</f>
        <v>54177.321000000011</v>
      </c>
      <c r="K10" s="29">
        <f t="shared" si="2"/>
        <v>50222.328000000001</v>
      </c>
      <c r="L10" s="83"/>
      <c r="N10" s="62">
        <f>I10/H10*100</f>
        <v>97.118847807391859</v>
      </c>
    </row>
    <row r="11" spans="1:14" x14ac:dyDescent="0.2">
      <c r="A11" s="137"/>
      <c r="B11" s="137"/>
      <c r="C11" s="31" t="s">
        <v>24</v>
      </c>
      <c r="D11" s="29">
        <f t="shared" ref="D11:I11" si="3">D19+D27+D35</f>
        <v>485738.42099999997</v>
      </c>
      <c r="E11" s="29">
        <f t="shared" si="3"/>
        <v>465076.69900000002</v>
      </c>
      <c r="F11" s="29">
        <f t="shared" si="3"/>
        <v>254616.856</v>
      </c>
      <c r="G11" s="29">
        <f t="shared" si="3"/>
        <v>253874.55499999999</v>
      </c>
      <c r="H11" s="29">
        <f t="shared" si="3"/>
        <v>507133.64299999998</v>
      </c>
      <c r="I11" s="29">
        <f t="shared" si="3"/>
        <v>499758.06300000002</v>
      </c>
      <c r="J11" s="29">
        <f t="shared" si="2"/>
        <v>470255.848</v>
      </c>
      <c r="K11" s="29">
        <f t="shared" si="2"/>
        <v>472739.82399999996</v>
      </c>
      <c r="L11" s="50"/>
      <c r="N11" s="62">
        <f>I11/H11*100</f>
        <v>98.545633857700906</v>
      </c>
    </row>
    <row r="12" spans="1:14" x14ac:dyDescent="0.2">
      <c r="A12" s="137"/>
      <c r="B12" s="137"/>
      <c r="C12" s="31" t="s">
        <v>70</v>
      </c>
      <c r="D12" s="29">
        <f t="shared" ref="D12:E15" si="4">D20+D28+D36</f>
        <v>355622.44900000002</v>
      </c>
      <c r="E12" s="29">
        <f>E20+E28+E36</f>
        <v>355106.54399999994</v>
      </c>
      <c r="F12" s="29">
        <f>F20+F28+F36</f>
        <v>193660.01800000001</v>
      </c>
      <c r="G12" s="29">
        <f>G20+G28+G36</f>
        <v>192754.35399999999</v>
      </c>
      <c r="H12" s="29">
        <f>H20+H28+H36</f>
        <v>395374.14899999998</v>
      </c>
      <c r="I12" s="29">
        <f>I20+I28+I36</f>
        <v>394650.13699999999</v>
      </c>
      <c r="J12" s="29">
        <f t="shared" si="2"/>
        <v>362561.67300000001</v>
      </c>
      <c r="K12" s="29">
        <f t="shared" si="2"/>
        <v>362561.67300000001</v>
      </c>
      <c r="L12" s="50"/>
      <c r="N12" s="62">
        <f>I12/H12*100</f>
        <v>99.816879277051569</v>
      </c>
    </row>
    <row r="13" spans="1:14" x14ac:dyDescent="0.2">
      <c r="A13" s="137"/>
      <c r="B13" s="137"/>
      <c r="C13" s="31" t="s">
        <v>71</v>
      </c>
      <c r="D13" s="29">
        <f t="shared" si="4"/>
        <v>0</v>
      </c>
      <c r="E13" s="29">
        <f t="shared" si="4"/>
        <v>0</v>
      </c>
      <c r="F13" s="29">
        <f t="shared" ref="F13:I15" si="5">F21+F29+F37</f>
        <v>0</v>
      </c>
      <c r="G13" s="29">
        <f>G21+G29+G37</f>
        <v>0</v>
      </c>
      <c r="H13" s="29">
        <f>H21+H29+H37</f>
        <v>0</v>
      </c>
      <c r="I13" s="29"/>
      <c r="J13" s="29">
        <f t="shared" ref="J13:K15" si="6">J21+J29+J37</f>
        <v>0</v>
      </c>
      <c r="K13" s="29">
        <f t="shared" si="6"/>
        <v>0</v>
      </c>
      <c r="L13" s="48"/>
      <c r="N13" s="62"/>
    </row>
    <row r="14" spans="1:14" x14ac:dyDescent="0.2">
      <c r="A14" s="137"/>
      <c r="B14" s="137"/>
      <c r="C14" s="31" t="s">
        <v>45</v>
      </c>
      <c r="D14" s="29">
        <f t="shared" si="4"/>
        <v>0</v>
      </c>
      <c r="E14" s="29">
        <f t="shared" si="4"/>
        <v>0</v>
      </c>
      <c r="F14" s="29">
        <f t="shared" si="5"/>
        <v>0</v>
      </c>
      <c r="G14" s="29">
        <f t="shared" si="5"/>
        <v>0</v>
      </c>
      <c r="H14" s="29">
        <f t="shared" si="5"/>
        <v>0</v>
      </c>
      <c r="I14" s="29">
        <f t="shared" si="5"/>
        <v>0</v>
      </c>
      <c r="J14" s="29">
        <f t="shared" si="6"/>
        <v>0</v>
      </c>
      <c r="K14" s="29">
        <f t="shared" si="6"/>
        <v>0</v>
      </c>
      <c r="L14" s="48"/>
      <c r="N14" s="62"/>
    </row>
    <row r="15" spans="1:14" x14ac:dyDescent="0.2">
      <c r="A15" s="137"/>
      <c r="B15" s="137"/>
      <c r="C15" s="31" t="s">
        <v>25</v>
      </c>
      <c r="D15" s="29">
        <f t="shared" si="4"/>
        <v>0</v>
      </c>
      <c r="E15" s="29">
        <f t="shared" si="4"/>
        <v>0</v>
      </c>
      <c r="F15" s="29">
        <f t="shared" si="5"/>
        <v>0</v>
      </c>
      <c r="G15" s="29">
        <f t="shared" si="5"/>
        <v>0</v>
      </c>
      <c r="H15" s="29">
        <f t="shared" si="5"/>
        <v>0</v>
      </c>
      <c r="I15" s="29">
        <f t="shared" si="5"/>
        <v>0</v>
      </c>
      <c r="J15" s="29">
        <f t="shared" si="6"/>
        <v>0</v>
      </c>
      <c r="K15" s="29">
        <f t="shared" si="6"/>
        <v>0</v>
      </c>
      <c r="L15" s="48"/>
      <c r="N15" s="62"/>
    </row>
    <row r="16" spans="1:14" ht="12" customHeight="1" x14ac:dyDescent="0.2">
      <c r="A16" s="128" t="s">
        <v>182</v>
      </c>
      <c r="B16" s="119" t="s">
        <v>181</v>
      </c>
      <c r="C16" s="31" t="s">
        <v>22</v>
      </c>
      <c r="D16" s="30">
        <f t="shared" ref="D16:K16" si="7">SUM(D18:D23)</f>
        <v>480</v>
      </c>
      <c r="E16" s="30">
        <f t="shared" si="7"/>
        <v>310.64999999999998</v>
      </c>
      <c r="F16" s="30">
        <f t="shared" si="7"/>
        <v>95.28</v>
      </c>
      <c r="G16" s="30">
        <f t="shared" si="7"/>
        <v>95.28</v>
      </c>
      <c r="H16" s="30">
        <f t="shared" si="7"/>
        <v>480</v>
      </c>
      <c r="I16" s="30">
        <f t="shared" si="7"/>
        <v>480</v>
      </c>
      <c r="J16" s="30">
        <f t="shared" si="7"/>
        <v>480</v>
      </c>
      <c r="K16" s="30">
        <f t="shared" si="7"/>
        <v>480</v>
      </c>
      <c r="L16" s="48"/>
      <c r="N16" s="62">
        <f>I16/H16*100</f>
        <v>100</v>
      </c>
    </row>
    <row r="17" spans="1:14" x14ac:dyDescent="0.2">
      <c r="A17" s="128"/>
      <c r="B17" s="121"/>
      <c r="C17" s="31" t="s">
        <v>23</v>
      </c>
      <c r="D17" s="49"/>
      <c r="E17" s="49"/>
      <c r="F17" s="29"/>
      <c r="G17" s="29"/>
      <c r="H17" s="49"/>
      <c r="I17" s="49"/>
      <c r="J17" s="49"/>
      <c r="K17" s="49"/>
      <c r="L17" s="48"/>
      <c r="N17" s="62"/>
    </row>
    <row r="18" spans="1:14" x14ac:dyDescent="0.2">
      <c r="A18" s="128"/>
      <c r="B18" s="121"/>
      <c r="C18" s="31" t="s">
        <v>13</v>
      </c>
      <c r="D18" s="49">
        <v>0</v>
      </c>
      <c r="E18" s="49"/>
      <c r="F18" s="29">
        <v>0</v>
      </c>
      <c r="G18" s="29"/>
      <c r="H18" s="49">
        <v>0</v>
      </c>
      <c r="I18" s="49"/>
      <c r="J18" s="49">
        <v>0</v>
      </c>
      <c r="K18" s="49">
        <v>0</v>
      </c>
      <c r="L18" s="48"/>
      <c r="N18" s="62"/>
    </row>
    <row r="19" spans="1:14" x14ac:dyDescent="0.2">
      <c r="A19" s="128"/>
      <c r="B19" s="121"/>
      <c r="C19" s="31" t="s">
        <v>24</v>
      </c>
      <c r="D19" s="49"/>
      <c r="E19" s="49"/>
      <c r="F19" s="29"/>
      <c r="G19" s="29"/>
      <c r="H19" s="49"/>
      <c r="I19" s="49"/>
      <c r="J19" s="49"/>
      <c r="K19" s="49"/>
      <c r="L19" s="48"/>
      <c r="N19" s="62"/>
    </row>
    <row r="20" spans="1:14" x14ac:dyDescent="0.2">
      <c r="A20" s="128"/>
      <c r="B20" s="121"/>
      <c r="C20" s="31" t="s">
        <v>70</v>
      </c>
      <c r="D20" s="49">
        <v>480</v>
      </c>
      <c r="E20" s="49">
        <v>310.64999999999998</v>
      </c>
      <c r="F20" s="29">
        <f>68.5+26.78</f>
        <v>95.28</v>
      </c>
      <c r="G20" s="29">
        <v>95.28</v>
      </c>
      <c r="H20" s="49">
        <v>480</v>
      </c>
      <c r="I20" s="49">
        <v>480</v>
      </c>
      <c r="J20" s="49">
        <v>480</v>
      </c>
      <c r="K20" s="49">
        <v>480</v>
      </c>
      <c r="L20" s="48"/>
      <c r="N20" s="62">
        <f>I20/H20*100</f>
        <v>100</v>
      </c>
    </row>
    <row r="21" spans="1:14" x14ac:dyDescent="0.2">
      <c r="A21" s="128"/>
      <c r="B21" s="121"/>
      <c r="C21" s="31" t="s">
        <v>71</v>
      </c>
      <c r="D21" s="49"/>
      <c r="E21" s="49"/>
      <c r="F21" s="29"/>
      <c r="G21" s="29"/>
      <c r="H21" s="49"/>
      <c r="I21" s="49"/>
      <c r="J21" s="49"/>
      <c r="K21" s="49"/>
      <c r="L21" s="48"/>
      <c r="N21" s="62"/>
    </row>
    <row r="22" spans="1:14" x14ac:dyDescent="0.2">
      <c r="A22" s="128"/>
      <c r="B22" s="121"/>
      <c r="C22" s="31" t="s">
        <v>45</v>
      </c>
      <c r="D22" s="49"/>
      <c r="E22" s="49"/>
      <c r="F22" s="29"/>
      <c r="G22" s="29"/>
      <c r="H22" s="49"/>
      <c r="I22" s="49"/>
      <c r="J22" s="49"/>
      <c r="K22" s="49"/>
      <c r="L22" s="48"/>
      <c r="N22" s="62"/>
    </row>
    <row r="23" spans="1:14" x14ac:dyDescent="0.2">
      <c r="A23" s="128"/>
      <c r="B23" s="120"/>
      <c r="C23" s="31" t="s">
        <v>25</v>
      </c>
      <c r="D23" s="49"/>
      <c r="E23" s="49"/>
      <c r="F23" s="29"/>
      <c r="G23" s="29"/>
      <c r="H23" s="49"/>
      <c r="I23" s="49"/>
      <c r="J23" s="49"/>
      <c r="K23" s="49"/>
      <c r="L23" s="48"/>
      <c r="N23" s="62"/>
    </row>
    <row r="24" spans="1:14" ht="14.25" customHeight="1" x14ac:dyDescent="0.2">
      <c r="A24" s="128" t="s">
        <v>180</v>
      </c>
      <c r="B24" s="119" t="s">
        <v>179</v>
      </c>
      <c r="C24" s="31" t="s">
        <v>22</v>
      </c>
      <c r="D24" s="30">
        <f t="shared" ref="D24:K24" si="8">SUM(D26:D31)</f>
        <v>60960.951000000008</v>
      </c>
      <c r="E24" s="30">
        <f>SUM(E26:E31)</f>
        <v>60702.240000000005</v>
      </c>
      <c r="F24" s="30">
        <f t="shared" si="8"/>
        <v>32331.57</v>
      </c>
      <c r="G24" s="30">
        <f t="shared" si="8"/>
        <v>32028.758999999998</v>
      </c>
      <c r="H24" s="30">
        <f t="shared" si="8"/>
        <v>67653.149999999994</v>
      </c>
      <c r="I24" s="30">
        <f t="shared" si="8"/>
        <v>66970.903000000006</v>
      </c>
      <c r="J24" s="30">
        <f t="shared" si="8"/>
        <v>64484.108999999997</v>
      </c>
      <c r="K24" s="30">
        <f t="shared" si="8"/>
        <v>64484.108999999997</v>
      </c>
      <c r="L24" s="50"/>
      <c r="N24" s="62">
        <f>I24/H24*100</f>
        <v>98.991551760708859</v>
      </c>
    </row>
    <row r="25" spans="1:14" x14ac:dyDescent="0.2">
      <c r="A25" s="128"/>
      <c r="B25" s="121"/>
      <c r="C25" s="31" t="s">
        <v>23</v>
      </c>
      <c r="D25" s="49"/>
      <c r="E25" s="49"/>
      <c r="F25" s="29"/>
      <c r="G25" s="29"/>
      <c r="H25" s="49"/>
      <c r="I25" s="49"/>
      <c r="J25" s="49"/>
      <c r="K25" s="49"/>
      <c r="L25" s="48"/>
      <c r="N25" s="62"/>
    </row>
    <row r="26" spans="1:14" x14ac:dyDescent="0.2">
      <c r="A26" s="128"/>
      <c r="B26" s="121"/>
      <c r="C26" s="31" t="s">
        <v>13</v>
      </c>
      <c r="D26" s="49"/>
      <c r="E26" s="49"/>
      <c r="F26" s="29"/>
      <c r="G26" s="29"/>
      <c r="H26" s="49"/>
      <c r="I26" s="49"/>
      <c r="J26" s="49"/>
      <c r="K26" s="49"/>
      <c r="L26" s="48"/>
      <c r="N26" s="62"/>
    </row>
    <row r="27" spans="1:14" x14ac:dyDescent="0.2">
      <c r="A27" s="128"/>
      <c r="B27" s="121"/>
      <c r="C27" s="31" t="s">
        <v>24</v>
      </c>
      <c r="D27" s="29">
        <f>4110.677-1719.524</f>
        <v>2391.1529999999998</v>
      </c>
      <c r="E27" s="49">
        <f>3864.871-1599.71</f>
        <v>2265.1610000000001</v>
      </c>
      <c r="F27" s="29"/>
      <c r="G27" s="29"/>
      <c r="H27" s="29"/>
      <c r="I27" s="49"/>
      <c r="J27" s="49"/>
      <c r="K27" s="49"/>
      <c r="L27" s="48"/>
      <c r="N27" s="62"/>
    </row>
    <row r="28" spans="1:14" x14ac:dyDescent="0.2">
      <c r="A28" s="128"/>
      <c r="B28" s="121"/>
      <c r="C28" s="31" t="s">
        <v>70</v>
      </c>
      <c r="D28" s="29">
        <f>53093.141+5476.66-0.003</f>
        <v>58569.79800000001</v>
      </c>
      <c r="E28" s="29">
        <f>52967.44+5469.64-0.001</f>
        <v>58437.079000000005</v>
      </c>
      <c r="F28" s="29">
        <v>32331.57</v>
      </c>
      <c r="G28" s="29">
        <v>32028.758999999998</v>
      </c>
      <c r="H28" s="29">
        <v>67653.149999999994</v>
      </c>
      <c r="I28" s="29">
        <v>66970.903000000006</v>
      </c>
      <c r="J28" s="29">
        <v>64484.108999999997</v>
      </c>
      <c r="K28" s="29">
        <v>64484.108999999997</v>
      </c>
      <c r="L28" s="48"/>
      <c r="N28" s="62">
        <f>I28/H28*100</f>
        <v>98.991551760708859</v>
      </c>
    </row>
    <row r="29" spans="1:14" x14ac:dyDescent="0.2">
      <c r="A29" s="128"/>
      <c r="B29" s="121"/>
      <c r="C29" s="31" t="s">
        <v>71</v>
      </c>
      <c r="D29" s="49"/>
      <c r="E29" s="49"/>
      <c r="F29" s="29"/>
      <c r="G29" s="29"/>
      <c r="H29" s="49"/>
      <c r="I29" s="49"/>
      <c r="J29" s="49"/>
      <c r="K29" s="49"/>
      <c r="L29" s="48"/>
      <c r="N29" s="62"/>
    </row>
    <row r="30" spans="1:14" x14ac:dyDescent="0.2">
      <c r="A30" s="128"/>
      <c r="B30" s="121"/>
      <c r="C30" s="31" t="s">
        <v>45</v>
      </c>
      <c r="D30" s="49"/>
      <c r="E30" s="49"/>
      <c r="F30" s="29"/>
      <c r="G30" s="29"/>
      <c r="H30" s="49"/>
      <c r="I30" s="49"/>
      <c r="J30" s="49"/>
      <c r="K30" s="49"/>
      <c r="L30" s="48"/>
      <c r="N30" s="62"/>
    </row>
    <row r="31" spans="1:14" x14ac:dyDescent="0.2">
      <c r="A31" s="128"/>
      <c r="B31" s="120"/>
      <c r="C31" s="31" t="s">
        <v>25</v>
      </c>
      <c r="D31" s="49"/>
      <c r="E31" s="49"/>
      <c r="F31" s="29"/>
      <c r="G31" s="29"/>
      <c r="H31" s="49"/>
      <c r="I31" s="49"/>
      <c r="J31" s="49"/>
      <c r="K31" s="49"/>
      <c r="L31" s="48"/>
      <c r="N31" s="62"/>
    </row>
    <row r="32" spans="1:14" ht="13.5" customHeight="1" x14ac:dyDescent="0.2">
      <c r="A32" s="128" t="s">
        <v>37</v>
      </c>
      <c r="B32" s="119" t="s">
        <v>78</v>
      </c>
      <c r="C32" s="31" t="s">
        <v>22</v>
      </c>
      <c r="D32" s="30">
        <f>SUM(D34:D39)</f>
        <v>796889.799</v>
      </c>
      <c r="E32" s="30">
        <f>SUM(E34:E39)</f>
        <v>774114.04399999999</v>
      </c>
      <c r="F32" s="30">
        <f t="shared" ref="F32:K32" si="9">SUM(F34:F39)</f>
        <v>437445.96600000001</v>
      </c>
      <c r="G32" s="30">
        <f>SUM(G34:G39)</f>
        <v>436100.81199999998</v>
      </c>
      <c r="H32" s="30">
        <f>SUM(H34:H39)</f>
        <v>877316.62899999996</v>
      </c>
      <c r="I32" s="30">
        <f>SUM(I34:I39)</f>
        <v>868662.06</v>
      </c>
      <c r="J32" s="30">
        <f t="shared" si="9"/>
        <v>822030.73300000001</v>
      </c>
      <c r="K32" s="30">
        <f t="shared" si="9"/>
        <v>820559.71600000001</v>
      </c>
      <c r="L32" s="48"/>
      <c r="M32" s="51"/>
      <c r="N32" s="62">
        <f>I32/H32*100</f>
        <v>99.013518185576316</v>
      </c>
    </row>
    <row r="33" spans="1:14" x14ac:dyDescent="0.2">
      <c r="A33" s="128"/>
      <c r="B33" s="121"/>
      <c r="C33" s="31" t="s">
        <v>23</v>
      </c>
      <c r="D33" s="49"/>
      <c r="E33" s="49"/>
      <c r="F33" s="29"/>
      <c r="G33" s="29"/>
      <c r="H33" s="49"/>
      <c r="I33" s="49"/>
      <c r="J33" s="49"/>
      <c r="K33" s="49"/>
      <c r="L33" s="48"/>
      <c r="N33" s="62"/>
    </row>
    <row r="34" spans="1:14" x14ac:dyDescent="0.2">
      <c r="A34" s="128"/>
      <c r="B34" s="121"/>
      <c r="C34" s="31" t="s">
        <v>39</v>
      </c>
      <c r="D34" s="63">
        <v>16969.88</v>
      </c>
      <c r="E34" s="26">
        <v>14943.691000000001</v>
      </c>
      <c r="F34" s="29">
        <v>21595.941999999999</v>
      </c>
      <c r="G34" s="29">
        <v>21595.941999999999</v>
      </c>
      <c r="H34" s="63">
        <v>42941.987000000001</v>
      </c>
      <c r="I34" s="26">
        <v>41704.762999999999</v>
      </c>
      <c r="J34" s="26">
        <f>17179.858+1133.542+8265.389+29117.212+2404.188+2634.58-6557.448</f>
        <v>54177.321000000011</v>
      </c>
      <c r="K34" s="26">
        <f>17179.858+1133.542+4159.418+29117.212+2404.188+2706.134-6478.024</f>
        <v>50222.328000000001</v>
      </c>
      <c r="L34" s="48"/>
      <c r="N34" s="62">
        <f>I34/H34*100</f>
        <v>97.118847807391859</v>
      </c>
    </row>
    <row r="35" spans="1:14" ht="15.75" customHeight="1" x14ac:dyDescent="0.2">
      <c r="A35" s="128"/>
      <c r="B35" s="121"/>
      <c r="C35" s="31" t="s">
        <v>24</v>
      </c>
      <c r="D35" s="26">
        <f>481627.744+1719.524</f>
        <v>483347.26799999998</v>
      </c>
      <c r="E35" s="26">
        <f>461211.828+1599.71</f>
        <v>462811.538</v>
      </c>
      <c r="F35" s="29">
        <v>254616.856</v>
      </c>
      <c r="G35" s="29">
        <v>253874.55499999999</v>
      </c>
      <c r="H35" s="26">
        <v>507133.64299999998</v>
      </c>
      <c r="I35" s="26">
        <v>499758.06300000002</v>
      </c>
      <c r="J35" s="26">
        <f>84974.6+54364.4+873.6+3001.6+60+46100.095+5048.705+190365.958+6060.834+17313.373+431.835+23626.555+3742.045+13211.194+1354.606+3780+8908.353+112.947+367.7+6557.448</f>
        <v>470255.848</v>
      </c>
      <c r="K35" s="26">
        <f>84974.6+54364.4+873.6+3001.6+60+46100.095+5048.705+190365.958+6060.834+17313.373+431.835+23626.555+3742.045+15474.594+1654.606+3780+3908.353+112.947+367.7+4400+7078.024</f>
        <v>472739.82399999996</v>
      </c>
      <c r="L35" s="48"/>
      <c r="N35" s="62">
        <f>I35/H35*100</f>
        <v>98.545633857700906</v>
      </c>
    </row>
    <row r="36" spans="1:14" ht="15.75" customHeight="1" x14ac:dyDescent="0.2">
      <c r="A36" s="128"/>
      <c r="B36" s="121"/>
      <c r="C36" s="31" t="s">
        <v>70</v>
      </c>
      <c r="D36" s="26">
        <f>302313.646-D20-5556.11+120+5.764+178.35-9+0.001</f>
        <v>296572.65100000001</v>
      </c>
      <c r="E36" s="26">
        <f>302218.555-E20-5549.09</f>
        <v>296358.81499999994</v>
      </c>
      <c r="F36" s="29">
        <v>161233.16800000001</v>
      </c>
      <c r="G36" s="29">
        <v>160630.315</v>
      </c>
      <c r="H36" s="26">
        <v>327240.99900000001</v>
      </c>
      <c r="I36" s="26">
        <v>327199.234</v>
      </c>
      <c r="J36" s="26">
        <f>84247.072+6.887+150856.943+9813.307+144+16.12+51417.927+4.94+600+490+0.368</f>
        <v>297597.56400000001</v>
      </c>
      <c r="K36" s="26">
        <f>84247.072+6.887+150856.943+9813.307+144+16.12+51417.927+4.94+600+490+0.368+600-600</f>
        <v>297597.56400000001</v>
      </c>
      <c r="L36" s="48"/>
      <c r="N36" s="62">
        <f>I36/H36*100</f>
        <v>99.987237234904043</v>
      </c>
    </row>
    <row r="37" spans="1:14" x14ac:dyDescent="0.2">
      <c r="A37" s="128"/>
      <c r="B37" s="121"/>
      <c r="C37" s="31" t="s">
        <v>71</v>
      </c>
      <c r="D37" s="49"/>
      <c r="E37" s="49"/>
      <c r="F37" s="29"/>
      <c r="G37" s="29"/>
      <c r="H37" s="49"/>
      <c r="I37" s="49"/>
      <c r="J37" s="49"/>
      <c r="K37" s="49"/>
      <c r="L37" s="48"/>
    </row>
    <row r="38" spans="1:14" x14ac:dyDescent="0.2">
      <c r="A38" s="128"/>
      <c r="B38" s="121"/>
      <c r="C38" s="31" t="s">
        <v>45</v>
      </c>
      <c r="D38" s="49"/>
      <c r="E38" s="49"/>
      <c r="F38" s="29"/>
      <c r="G38" s="29"/>
      <c r="H38" s="49"/>
      <c r="I38" s="49"/>
      <c r="J38" s="49"/>
      <c r="K38" s="49"/>
      <c r="L38" s="48"/>
    </row>
    <row r="39" spans="1:14" x14ac:dyDescent="0.2">
      <c r="A39" s="128"/>
      <c r="B39" s="120"/>
      <c r="C39" s="31" t="s">
        <v>25</v>
      </c>
      <c r="D39" s="49"/>
      <c r="E39" s="49"/>
      <c r="F39" s="29"/>
      <c r="G39" s="29"/>
      <c r="H39" s="49"/>
      <c r="I39" s="49"/>
      <c r="J39" s="49"/>
      <c r="K39" s="49"/>
      <c r="L39" s="48"/>
    </row>
    <row r="40" spans="1:14" ht="13.5" hidden="1" customHeight="1" x14ac:dyDescent="0.2">
      <c r="A40" s="128" t="s">
        <v>38</v>
      </c>
      <c r="B40" s="128"/>
      <c r="C40" s="31" t="s">
        <v>22</v>
      </c>
      <c r="D40" s="53"/>
      <c r="E40" s="53"/>
      <c r="F40" s="52"/>
      <c r="G40" s="52"/>
      <c r="H40" s="53"/>
      <c r="I40" s="53"/>
      <c r="J40" s="53"/>
      <c r="K40" s="53"/>
      <c r="L40" s="48"/>
    </row>
    <row r="41" spans="1:14" ht="12.75" hidden="1" customHeight="1" x14ac:dyDescent="0.2">
      <c r="A41" s="128"/>
      <c r="B41" s="128"/>
      <c r="C41" s="31" t="s">
        <v>23</v>
      </c>
      <c r="D41" s="53"/>
      <c r="E41" s="53"/>
      <c r="F41" s="52"/>
      <c r="G41" s="52"/>
      <c r="H41" s="53"/>
      <c r="I41" s="53"/>
      <c r="J41" s="53"/>
      <c r="K41" s="53"/>
      <c r="L41" s="48"/>
    </row>
    <row r="42" spans="1:14" ht="12.75" hidden="1" customHeight="1" x14ac:dyDescent="0.2">
      <c r="A42" s="128"/>
      <c r="B42" s="128"/>
      <c r="C42" s="31" t="s">
        <v>40</v>
      </c>
      <c r="D42" s="53"/>
      <c r="E42" s="53"/>
      <c r="F42" s="52"/>
      <c r="G42" s="52"/>
      <c r="H42" s="53"/>
      <c r="I42" s="53"/>
      <c r="J42" s="53"/>
      <c r="K42" s="53"/>
      <c r="L42" s="48"/>
    </row>
    <row r="43" spans="1:14" ht="12.75" hidden="1" customHeight="1" x14ac:dyDescent="0.2">
      <c r="A43" s="128"/>
      <c r="B43" s="128"/>
      <c r="C43" s="31" t="s">
        <v>24</v>
      </c>
      <c r="D43" s="53"/>
      <c r="E43" s="53"/>
      <c r="F43" s="52"/>
      <c r="G43" s="52"/>
      <c r="H43" s="53"/>
      <c r="I43" s="53"/>
      <c r="J43" s="53"/>
      <c r="K43" s="53"/>
      <c r="L43" s="48"/>
    </row>
    <row r="44" spans="1:14" ht="12.75" hidden="1" customHeight="1" x14ac:dyDescent="0.2">
      <c r="A44" s="128"/>
      <c r="B44" s="128"/>
      <c r="C44" s="31" t="s">
        <v>70</v>
      </c>
      <c r="D44" s="53"/>
      <c r="E44" s="53"/>
      <c r="F44" s="52"/>
      <c r="G44" s="52"/>
      <c r="H44" s="53"/>
      <c r="I44" s="53"/>
      <c r="J44" s="53"/>
      <c r="K44" s="53"/>
      <c r="L44" s="48"/>
    </row>
    <row r="45" spans="1:14" ht="12.75" hidden="1" customHeight="1" x14ac:dyDescent="0.2">
      <c r="A45" s="128"/>
      <c r="B45" s="128"/>
      <c r="C45" s="31" t="s">
        <v>71</v>
      </c>
      <c r="D45" s="53"/>
      <c r="E45" s="53"/>
      <c r="F45" s="52"/>
      <c r="G45" s="52"/>
      <c r="H45" s="53"/>
      <c r="I45" s="53"/>
      <c r="J45" s="53"/>
      <c r="K45" s="53"/>
      <c r="L45" s="48"/>
    </row>
    <row r="46" spans="1:14" ht="12.75" hidden="1" customHeight="1" x14ac:dyDescent="0.2">
      <c r="A46" s="128"/>
      <c r="B46" s="128"/>
      <c r="C46" s="31" t="s">
        <v>45</v>
      </c>
      <c r="D46" s="53"/>
      <c r="E46" s="53"/>
      <c r="F46" s="52"/>
      <c r="G46" s="52"/>
      <c r="H46" s="53"/>
      <c r="I46" s="53"/>
      <c r="J46" s="53"/>
      <c r="K46" s="53"/>
      <c r="L46" s="48"/>
    </row>
    <row r="47" spans="1:14" ht="12.75" hidden="1" customHeight="1" x14ac:dyDescent="0.2">
      <c r="A47" s="128"/>
      <c r="B47" s="128"/>
      <c r="C47" s="31" t="s">
        <v>25</v>
      </c>
      <c r="D47" s="53"/>
      <c r="E47" s="53"/>
      <c r="F47" s="52"/>
      <c r="G47" s="52"/>
      <c r="H47" s="53"/>
      <c r="I47" s="53"/>
      <c r="J47" s="53"/>
      <c r="K47" s="53"/>
      <c r="L47" s="48"/>
    </row>
    <row r="48" spans="1:14" x14ac:dyDescent="0.2">
      <c r="D48" s="54"/>
      <c r="E48" s="54"/>
      <c r="F48" s="54"/>
      <c r="G48" s="54"/>
      <c r="H48" s="54"/>
      <c r="I48" s="54"/>
      <c r="J48" s="54"/>
      <c r="K48" s="54"/>
      <c r="L48" s="55"/>
    </row>
    <row r="49" spans="1:12" x14ac:dyDescent="0.2">
      <c r="D49" s="55"/>
      <c r="E49" s="55"/>
      <c r="F49" s="69"/>
      <c r="G49" s="69"/>
      <c r="H49" s="70"/>
      <c r="I49" s="70"/>
      <c r="J49" s="55"/>
      <c r="K49" s="55"/>
      <c r="L49" s="55"/>
    </row>
    <row r="50" spans="1:12" ht="20.25" customHeight="1" x14ac:dyDescent="0.25">
      <c r="A50" s="113" t="s">
        <v>230</v>
      </c>
      <c r="B50" s="113"/>
      <c r="C50" s="113"/>
      <c r="D50" s="113"/>
      <c r="E50" s="113"/>
      <c r="F50" s="113"/>
      <c r="G50" s="113"/>
      <c r="H50" s="113"/>
      <c r="K50" s="65" t="s">
        <v>231</v>
      </c>
    </row>
    <row r="51" spans="1:12" x14ac:dyDescent="0.2">
      <c r="D51" s="57"/>
      <c r="E51" s="57"/>
      <c r="G51" s="56"/>
      <c r="H51" s="57"/>
      <c r="I51" s="57"/>
      <c r="J51" s="57"/>
      <c r="K51" s="57"/>
      <c r="L51" s="57"/>
    </row>
    <row r="52" spans="1:12" x14ac:dyDescent="0.2">
      <c r="D52" s="55"/>
      <c r="E52" s="55"/>
      <c r="G52" s="55"/>
      <c r="H52" s="55"/>
      <c r="I52" s="55"/>
      <c r="J52" s="55"/>
      <c r="K52" s="55"/>
      <c r="L52" s="55"/>
    </row>
    <row r="53" spans="1:12" x14ac:dyDescent="0.2">
      <c r="D53" s="55"/>
      <c r="E53" s="55"/>
      <c r="G53" s="55"/>
      <c r="H53" s="55"/>
      <c r="I53" s="55"/>
      <c r="J53" s="55"/>
      <c r="K53" s="55"/>
      <c r="L53" s="55"/>
    </row>
    <row r="54" spans="1:12" x14ac:dyDescent="0.2">
      <c r="A54" s="24" t="s">
        <v>232</v>
      </c>
      <c r="D54" s="55"/>
      <c r="E54" s="55"/>
      <c r="G54" s="55"/>
      <c r="H54" s="55"/>
      <c r="I54" s="55"/>
      <c r="J54" s="55"/>
      <c r="K54" s="55"/>
      <c r="L54" s="55"/>
    </row>
    <row r="55" spans="1:12" x14ac:dyDescent="0.2">
      <c r="A55" s="24" t="s">
        <v>171</v>
      </c>
      <c r="D55" s="55"/>
      <c r="E55" s="55"/>
      <c r="G55" s="55"/>
      <c r="H55" s="55"/>
      <c r="I55" s="55"/>
      <c r="J55" s="55"/>
      <c r="K55" s="55"/>
      <c r="L55" s="55"/>
    </row>
    <row r="56" spans="1:12" x14ac:dyDescent="0.2">
      <c r="D56" s="55"/>
      <c r="E56" s="55"/>
      <c r="F56" s="55"/>
      <c r="G56" s="55"/>
      <c r="H56" s="55"/>
      <c r="I56" s="55"/>
      <c r="J56" s="55"/>
      <c r="K56" s="55"/>
      <c r="L56" s="55"/>
    </row>
    <row r="57" spans="1:12" x14ac:dyDescent="0.2">
      <c r="F57" s="55"/>
      <c r="G57" s="55"/>
    </row>
    <row r="59" spans="1:12" ht="26.25" customHeight="1" x14ac:dyDescent="0.2">
      <c r="D59" s="16"/>
      <c r="E59" s="16"/>
      <c r="F59" s="16"/>
      <c r="G59" s="16"/>
      <c r="H59" s="16"/>
      <c r="I59" s="16"/>
      <c r="J59" s="16"/>
      <c r="K59" s="16"/>
      <c r="L59" s="16"/>
    </row>
  </sheetData>
  <mergeCells count="23">
    <mergeCell ref="J1:L1"/>
    <mergeCell ref="J2:L2"/>
    <mergeCell ref="A5:A7"/>
    <mergeCell ref="B5:B7"/>
    <mergeCell ref="C5:C7"/>
    <mergeCell ref="L5:L7"/>
    <mergeCell ref="A8:A15"/>
    <mergeCell ref="A40:A47"/>
    <mergeCell ref="B40:B47"/>
    <mergeCell ref="H6:I6"/>
    <mergeCell ref="A16:A23"/>
    <mergeCell ref="B16:B23"/>
    <mergeCell ref="A24:A31"/>
    <mergeCell ref="A50:H50"/>
    <mergeCell ref="A32:A39"/>
    <mergeCell ref="B32:B39"/>
    <mergeCell ref="B24:B31"/>
    <mergeCell ref="A3:L3"/>
    <mergeCell ref="J5:K6"/>
    <mergeCell ref="F6:G6"/>
    <mergeCell ref="F5:I5"/>
    <mergeCell ref="D6:E6"/>
    <mergeCell ref="B8:B15"/>
  </mergeCells>
  <conditionalFormatting sqref="D8:K39">
    <cfRule type="cellIs" dxfId="5" priority="9" stopIfTrue="1" operator="equal">
      <formula>0</formula>
    </cfRule>
  </conditionalFormatting>
  <conditionalFormatting sqref="I10:I13">
    <cfRule type="cellIs" dxfId="4" priority="8" stopIfTrue="1" operator="equal">
      <formula>0</formula>
    </cfRule>
  </conditionalFormatting>
  <conditionalFormatting sqref="J10:K12">
    <cfRule type="cellIs" dxfId="3" priority="7" stopIfTrue="1" operator="equal">
      <formula>0</formula>
    </cfRule>
  </conditionalFormatting>
  <conditionalFormatting sqref="D34:E36">
    <cfRule type="cellIs" dxfId="2" priority="3" stopIfTrue="1" operator="equal">
      <formula>0</formula>
    </cfRule>
  </conditionalFormatting>
  <conditionalFormatting sqref="D27:E28">
    <cfRule type="cellIs" dxfId="1" priority="2" stopIfTrue="1" operator="equal">
      <formula>0</formula>
    </cfRule>
  </conditionalFormatting>
  <conditionalFormatting sqref="D20:E20">
    <cfRule type="cellIs" dxfId="0" priority="1" stopIfTrue="1" operator="equal">
      <formula>0</formula>
    </cfRule>
  </conditionalFormatting>
  <pageMargins left="0.62992125984251968" right="0.19685039370078741" top="0.39370078740157483" bottom="0.35433070866141736" header="0.31496062992125984" footer="0.31496062992125984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view="pageBreakPreview" zoomScaleNormal="100" zoomScaleSheetLayoutView="100" workbookViewId="0">
      <selection activeCell="A25" sqref="A25:IV25"/>
    </sheetView>
  </sheetViews>
  <sheetFormatPr defaultRowHeight="12.75" x14ac:dyDescent="0.2"/>
  <cols>
    <col min="1" max="1" width="5.85546875" style="10" customWidth="1"/>
    <col min="2" max="2" width="18.85546875" style="10" customWidth="1"/>
    <col min="3" max="3" width="10.7109375" style="10" customWidth="1"/>
    <col min="4" max="4" width="11.5703125" style="10" customWidth="1"/>
    <col min="5" max="5" width="12.5703125" style="10" customWidth="1"/>
    <col min="6" max="6" width="8.7109375" style="10" customWidth="1"/>
    <col min="7" max="7" width="9.140625" style="10"/>
    <col min="8" max="8" width="9.5703125" style="10" customWidth="1"/>
    <col min="9" max="16384" width="9.140625" style="10"/>
  </cols>
  <sheetData>
    <row r="1" spans="1:16" ht="18" customHeight="1" x14ac:dyDescent="0.25">
      <c r="M1" s="138" t="s">
        <v>178</v>
      </c>
      <c r="N1" s="138"/>
      <c r="O1" s="138"/>
      <c r="P1" s="138"/>
    </row>
    <row r="2" spans="1:16" ht="66" customHeight="1" x14ac:dyDescent="0.25">
      <c r="M2" s="146" t="s">
        <v>69</v>
      </c>
      <c r="N2" s="146"/>
      <c r="O2" s="146"/>
      <c r="P2" s="146"/>
    </row>
    <row r="3" spans="1:16" ht="18.75" customHeight="1" x14ac:dyDescent="0.25">
      <c r="O3" s="18"/>
      <c r="P3" s="18"/>
    </row>
    <row r="4" spans="1:16" ht="21" customHeight="1" x14ac:dyDescent="0.2">
      <c r="A4" s="139" t="s">
        <v>74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</row>
    <row r="5" spans="1:16" ht="27" customHeight="1" x14ac:dyDescent="0.25">
      <c r="A5" s="11"/>
      <c r="B5" s="11"/>
      <c r="C5" s="11"/>
      <c r="D5" s="11"/>
      <c r="E5" s="11"/>
      <c r="F5" s="11"/>
      <c r="G5" s="11"/>
      <c r="H5" s="140" t="s">
        <v>14</v>
      </c>
      <c r="I5" s="141"/>
      <c r="J5" s="141"/>
      <c r="K5" s="141"/>
      <c r="L5" s="141"/>
      <c r="M5" s="141"/>
      <c r="N5" s="141"/>
      <c r="O5" s="141"/>
      <c r="P5" s="141"/>
    </row>
    <row r="6" spans="1:16" ht="20.25" customHeight="1" x14ac:dyDescent="0.25">
      <c r="A6" s="11"/>
      <c r="B6" s="11"/>
      <c r="C6" s="11"/>
      <c r="D6" s="11"/>
      <c r="E6" s="11"/>
      <c r="F6" s="11"/>
      <c r="G6" s="11"/>
      <c r="H6" s="142" t="s">
        <v>63</v>
      </c>
      <c r="I6" s="143"/>
      <c r="J6" s="143"/>
      <c r="K6" s="143"/>
      <c r="L6" s="143"/>
      <c r="M6" s="143"/>
      <c r="N6" s="143"/>
      <c r="O6" s="143"/>
      <c r="P6" s="143"/>
    </row>
    <row r="7" spans="1:16" ht="28.5" customHeight="1" x14ac:dyDescent="0.2">
      <c r="O7" s="10" t="s">
        <v>12</v>
      </c>
    </row>
    <row r="8" spans="1:16" customFormat="1" ht="12.75" customHeight="1" x14ac:dyDescent="0.2">
      <c r="A8" s="144" t="s">
        <v>48</v>
      </c>
      <c r="B8" s="144" t="s">
        <v>49</v>
      </c>
      <c r="C8" s="144" t="s">
        <v>50</v>
      </c>
      <c r="D8" s="144" t="s">
        <v>72</v>
      </c>
      <c r="E8" s="144" t="s">
        <v>62</v>
      </c>
      <c r="F8" s="144" t="s">
        <v>51</v>
      </c>
      <c r="G8" s="148"/>
      <c r="H8" s="144" t="s">
        <v>52</v>
      </c>
      <c r="I8" s="144"/>
      <c r="J8" s="144"/>
      <c r="K8" s="144"/>
      <c r="L8" s="144"/>
      <c r="M8" s="144"/>
      <c r="N8" s="145" t="s">
        <v>53</v>
      </c>
      <c r="O8" s="145"/>
      <c r="P8" s="145"/>
    </row>
    <row r="9" spans="1:16" customFormat="1" ht="26.25" customHeight="1" x14ac:dyDescent="0.2">
      <c r="A9" s="144"/>
      <c r="B9" s="144"/>
      <c r="C9" s="144"/>
      <c r="D9" s="144"/>
      <c r="E9" s="144"/>
      <c r="F9" s="148"/>
      <c r="G9" s="148"/>
      <c r="H9" s="144"/>
      <c r="I9" s="144"/>
      <c r="J9" s="144"/>
      <c r="K9" s="144"/>
      <c r="L9" s="144"/>
      <c r="M9" s="144"/>
      <c r="N9" s="145"/>
      <c r="O9" s="145"/>
      <c r="P9" s="145"/>
    </row>
    <row r="10" spans="1:16" customFormat="1" ht="47.25" customHeight="1" x14ac:dyDescent="0.2">
      <c r="A10" s="147"/>
      <c r="B10" s="147"/>
      <c r="C10" s="147"/>
      <c r="D10" s="147"/>
      <c r="E10" s="147"/>
      <c r="F10" s="21" t="s">
        <v>54</v>
      </c>
      <c r="G10" s="22" t="s">
        <v>55</v>
      </c>
      <c r="H10" s="21" t="s">
        <v>56</v>
      </c>
      <c r="I10" s="21" t="s">
        <v>57</v>
      </c>
      <c r="J10" s="21" t="s">
        <v>58</v>
      </c>
      <c r="K10" s="21" t="s">
        <v>59</v>
      </c>
      <c r="L10" s="21" t="s">
        <v>13</v>
      </c>
      <c r="M10" s="21" t="s">
        <v>60</v>
      </c>
      <c r="N10" s="21" t="s">
        <v>61</v>
      </c>
      <c r="O10" s="21" t="s">
        <v>58</v>
      </c>
      <c r="P10" s="21" t="s">
        <v>13</v>
      </c>
    </row>
    <row r="11" spans="1:16" ht="15" customHeight="1" x14ac:dyDescent="0.2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7</v>
      </c>
      <c r="G11" s="23">
        <v>8</v>
      </c>
      <c r="H11" s="23">
        <v>9</v>
      </c>
      <c r="I11" s="23">
        <v>10</v>
      </c>
      <c r="J11" s="23">
        <v>11</v>
      </c>
      <c r="K11" s="23">
        <v>12</v>
      </c>
      <c r="L11" s="23">
        <v>13</v>
      </c>
      <c r="M11" s="23">
        <v>14</v>
      </c>
      <c r="N11" s="23">
        <v>15</v>
      </c>
      <c r="O11" s="23">
        <v>16</v>
      </c>
      <c r="P11" s="23">
        <v>17</v>
      </c>
    </row>
    <row r="12" spans="1:16" ht="19.5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ht="18.75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ht="18.75" customHeight="1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ht="19.5" customHeight="1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ht="18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6" ht="19.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6" ht="20.2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6" ht="19.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ht="21" customHeight="1" x14ac:dyDescent="0.2">
      <c r="A20" s="12"/>
      <c r="B20" s="20" t="s">
        <v>20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ht="24.75" customHeight="1" x14ac:dyDescent="0.2">
      <c r="A21" s="13"/>
      <c r="B21" s="14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</row>
    <row r="22" spans="1:16" hidden="1" x14ac:dyDescent="0.2"/>
    <row r="23" spans="1:16" hidden="1" x14ac:dyDescent="0.2"/>
    <row r="25" spans="1:16" s="24" customFormat="1" ht="20.25" customHeight="1" x14ac:dyDescent="0.25">
      <c r="A25" s="113" t="s">
        <v>230</v>
      </c>
      <c r="B25" s="113"/>
      <c r="C25" s="113"/>
      <c r="D25" s="113"/>
      <c r="E25" s="113"/>
      <c r="F25" s="113"/>
      <c r="G25" s="113"/>
      <c r="H25" s="113"/>
      <c r="K25" s="65" t="s">
        <v>231</v>
      </c>
    </row>
    <row r="26" spans="1:16" s="15" customFormat="1" ht="15.75" x14ac:dyDescent="0.25">
      <c r="B26" s="19"/>
      <c r="C26" s="19"/>
      <c r="D26" s="19"/>
      <c r="E26" s="19"/>
      <c r="G26" s="19"/>
      <c r="H26" s="19"/>
      <c r="I26" s="19"/>
      <c r="J26" s="19"/>
      <c r="K26" s="19"/>
      <c r="L26" s="19"/>
      <c r="M26" s="19"/>
      <c r="O26" s="19"/>
      <c r="P26" s="19"/>
    </row>
    <row r="27" spans="1:16" s="15" customFormat="1" ht="15.75" x14ac:dyDescent="0.25">
      <c r="B27" s="19"/>
      <c r="C27" s="19"/>
      <c r="D27" s="19"/>
      <c r="E27" s="19"/>
      <c r="G27" s="19"/>
      <c r="H27" s="19"/>
      <c r="I27" s="19"/>
      <c r="J27" s="19"/>
      <c r="K27" s="19"/>
      <c r="L27" s="19"/>
      <c r="M27" s="19"/>
      <c r="O27" s="19"/>
      <c r="P27" s="19"/>
    </row>
  </sheetData>
  <mergeCells count="15">
    <mergeCell ref="C8:C10"/>
    <mergeCell ref="D8:D10"/>
    <mergeCell ref="E8:E10"/>
    <mergeCell ref="F8:G9"/>
    <mergeCell ref="A25:H25"/>
    <mergeCell ref="O1:P1"/>
    <mergeCell ref="A4:P4"/>
    <mergeCell ref="H5:P5"/>
    <mergeCell ref="H6:P6"/>
    <mergeCell ref="H8:M9"/>
    <mergeCell ref="N8:P9"/>
    <mergeCell ref="M1:N1"/>
    <mergeCell ref="M2:P2"/>
    <mergeCell ref="A8:A10"/>
    <mergeCell ref="B8:B10"/>
  </mergeCells>
  <phoneticPr fontId="1" type="noConversion"/>
  <pageMargins left="1.05" right="0.78740157480314965" top="0.78740157480314965" bottom="0.59055118110236227" header="0.51181102362204722" footer="0.51181102362204722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7 показатели </vt:lpstr>
      <vt:lpstr>8 средства по кодам</vt:lpstr>
      <vt:lpstr>9 средства бюджет</vt:lpstr>
      <vt:lpstr>10 Инвестиц П</vt:lpstr>
      <vt:lpstr>'10 Инвестиц П'!Область_печати</vt:lpstr>
      <vt:lpstr>'7 показатели '!Область_печати</vt:lpstr>
      <vt:lpstr>'8 средства по кодам'!Область_печати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Маегов Евгений Владимирович</cp:lastModifiedBy>
  <cp:lastPrinted>2022-02-28T08:53:13Z</cp:lastPrinted>
  <dcterms:created xsi:type="dcterms:W3CDTF">2007-07-17T01:27:34Z</dcterms:created>
  <dcterms:modified xsi:type="dcterms:W3CDTF">2024-02-27T06:56:53Z</dcterms:modified>
</cp:coreProperties>
</file>