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0" yWindow="0" windowWidth="15456" windowHeight="11832" activeTab="2"/>
  </bookViews>
  <sheets>
    <sheet name="приложение 10" sheetId="1" r:id="rId1"/>
    <sheet name="приложение 9" sheetId="3" state="hidden" r:id="rId2"/>
    <sheet name="приложение 9 (2)" sheetId="4" r:id="rId3"/>
  </sheets>
  <definedNames>
    <definedName name="_xlnm.Print_Titles" localSheetId="0">'приложение 10'!$4:$6</definedName>
    <definedName name="_xlnm.Print_Titles" localSheetId="1">'приложение 9'!$6:$9</definedName>
    <definedName name="_xlnm.Print_Titles" localSheetId="2">'приложение 9 (2)'!$4:$7</definedName>
  </definedNam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I489" i="4"/>
  <c r="H489"/>
  <c r="I487"/>
  <c r="H487"/>
  <c r="I483"/>
  <c r="H483"/>
  <c r="I482"/>
  <c r="H482"/>
  <c r="I481"/>
  <c r="H481"/>
  <c r="I476"/>
  <c r="H476"/>
  <c r="I471"/>
  <c r="H471"/>
  <c r="I470"/>
  <c r="H470"/>
  <c r="I469"/>
  <c r="H469"/>
  <c r="I458"/>
  <c r="H458"/>
  <c r="I457"/>
  <c r="H457"/>
  <c r="I454"/>
  <c r="H454"/>
  <c r="I453"/>
  <c r="H453"/>
  <c r="I452"/>
  <c r="H452"/>
  <c r="I447"/>
  <c r="H447"/>
  <c r="I441"/>
  <c r="H441"/>
  <c r="I440"/>
  <c r="H440"/>
  <c r="I439"/>
  <c r="H439"/>
  <c r="I438"/>
  <c r="H438"/>
  <c r="I433"/>
  <c r="H433"/>
  <c r="I429"/>
  <c r="H429"/>
  <c r="I418"/>
  <c r="H418"/>
  <c r="I417"/>
  <c r="H417"/>
  <c r="I416"/>
  <c r="H416"/>
  <c r="I414"/>
  <c r="H414"/>
  <c r="I413"/>
  <c r="H413"/>
  <c r="I412"/>
  <c r="H412"/>
  <c r="I411"/>
  <c r="H411"/>
  <c r="I409"/>
  <c r="H409"/>
  <c r="I404"/>
  <c r="H404"/>
  <c r="I402"/>
  <c r="H402"/>
  <c r="I397"/>
  <c r="H397"/>
  <c r="I396"/>
  <c r="H396"/>
  <c r="I395"/>
  <c r="H395"/>
  <c r="I394"/>
  <c r="H394"/>
  <c r="I392"/>
  <c r="H392"/>
  <c r="I390"/>
  <c r="H390"/>
  <c r="I388"/>
  <c r="H388"/>
  <c r="I386"/>
  <c r="H386"/>
  <c r="I384"/>
  <c r="H384"/>
  <c r="I382"/>
  <c r="H382"/>
  <c r="I380"/>
  <c r="H380"/>
  <c r="I378"/>
  <c r="H378"/>
  <c r="I377"/>
  <c r="H377"/>
  <c r="I376"/>
  <c r="H376"/>
  <c r="I374"/>
  <c r="H374"/>
  <c r="I372"/>
  <c r="H372"/>
  <c r="I370"/>
  <c r="H370"/>
  <c r="I368"/>
  <c r="H368"/>
  <c r="I366"/>
  <c r="H366"/>
  <c r="I365"/>
  <c r="H365"/>
  <c r="I363"/>
  <c r="H363"/>
  <c r="I361"/>
  <c r="H361"/>
  <c r="I359"/>
  <c r="H359"/>
  <c r="I357"/>
  <c r="H357"/>
  <c r="I356"/>
  <c r="H356"/>
  <c r="I355"/>
  <c r="H355"/>
  <c r="I353"/>
  <c r="H353"/>
  <c r="I349"/>
  <c r="H349"/>
  <c r="I346"/>
  <c r="H346"/>
  <c r="I344"/>
  <c r="H344"/>
  <c r="I341"/>
  <c r="H341"/>
  <c r="I339"/>
  <c r="H339"/>
  <c r="I337"/>
  <c r="H337"/>
  <c r="I335"/>
  <c r="H335"/>
  <c r="I334"/>
  <c r="H334"/>
  <c r="I333"/>
  <c r="H333"/>
  <c r="I329"/>
  <c r="H329"/>
  <c r="I321"/>
  <c r="H321"/>
  <c r="I320"/>
  <c r="H320"/>
  <c r="I317"/>
  <c r="H317"/>
  <c r="I313"/>
  <c r="H313"/>
  <c r="I296"/>
  <c r="H296"/>
  <c r="I294"/>
  <c r="H294"/>
  <c r="I293"/>
  <c r="H293"/>
  <c r="I292"/>
  <c r="H292"/>
  <c r="I291"/>
  <c r="H291"/>
  <c r="I289"/>
  <c r="H289"/>
  <c r="I287"/>
  <c r="H287"/>
  <c r="I285"/>
  <c r="H285"/>
  <c r="I283"/>
  <c r="H283"/>
  <c r="I281"/>
  <c r="H281"/>
  <c r="I280"/>
  <c r="H280"/>
  <c r="I278"/>
  <c r="H278"/>
  <c r="I273"/>
  <c r="H273"/>
  <c r="I263"/>
  <c r="H263"/>
  <c r="I262"/>
  <c r="H262"/>
  <c r="I261"/>
  <c r="H261"/>
  <c r="I259"/>
  <c r="H259"/>
  <c r="I258"/>
  <c r="H258"/>
  <c r="I257"/>
  <c r="H257"/>
  <c r="I254"/>
  <c r="H254"/>
  <c r="I253"/>
  <c r="H253"/>
  <c r="I201"/>
  <c r="H201"/>
  <c r="I200"/>
  <c r="H200"/>
  <c r="I199"/>
  <c r="H199"/>
  <c r="I197"/>
  <c r="H197"/>
  <c r="I192"/>
  <c r="H192"/>
  <c r="I189"/>
  <c r="H189"/>
  <c r="I186"/>
  <c r="H186"/>
  <c r="I181"/>
  <c r="H181"/>
  <c r="I180"/>
  <c r="H180"/>
  <c r="I162"/>
  <c r="H162"/>
  <c r="I161"/>
  <c r="H161"/>
  <c r="I160"/>
  <c r="H160"/>
  <c r="I135"/>
  <c r="H135"/>
  <c r="I134"/>
  <c r="H134"/>
  <c r="I133"/>
  <c r="H133"/>
  <c r="I114"/>
  <c r="H114"/>
  <c r="I113"/>
  <c r="H113"/>
  <c r="I112"/>
  <c r="H112"/>
  <c r="I111"/>
  <c r="H111"/>
  <c r="I110"/>
  <c r="H110"/>
  <c r="I108"/>
  <c r="H108"/>
  <c r="I107"/>
  <c r="H107"/>
  <c r="I104"/>
  <c r="H104"/>
  <c r="I103"/>
  <c r="H103"/>
  <c r="I101"/>
  <c r="H101"/>
  <c r="I100"/>
  <c r="H100"/>
  <c r="I99"/>
  <c r="H99"/>
  <c r="I97"/>
  <c r="H97"/>
  <c r="I96"/>
  <c r="H96"/>
  <c r="I95"/>
  <c r="H95"/>
  <c r="I93"/>
  <c r="H93"/>
  <c r="I92"/>
  <c r="H92"/>
  <c r="I91"/>
  <c r="H91"/>
  <c r="I90"/>
  <c r="H90"/>
  <c r="I87"/>
  <c r="H87"/>
  <c r="I86"/>
  <c r="H86"/>
  <c r="I85"/>
  <c r="H85"/>
  <c r="I83"/>
  <c r="H83"/>
  <c r="I81"/>
  <c r="H81"/>
  <c r="I80"/>
  <c r="H80"/>
  <c r="I79"/>
  <c r="H79"/>
  <c r="I77"/>
  <c r="H77"/>
  <c r="I75"/>
  <c r="H75"/>
  <c r="I74"/>
  <c r="H74"/>
  <c r="I73"/>
  <c r="H73"/>
  <c r="I72"/>
  <c r="H72"/>
  <c r="I71"/>
  <c r="H71"/>
  <c r="I70"/>
  <c r="H70"/>
  <c r="I56"/>
  <c r="H56"/>
  <c r="I55"/>
  <c r="H55"/>
  <c r="I39"/>
  <c r="H39"/>
  <c r="I38"/>
  <c r="H38"/>
  <c r="I31"/>
  <c r="H31"/>
  <c r="I30"/>
  <c r="H30"/>
  <c r="I26"/>
  <c r="H26"/>
  <c r="I20"/>
  <c r="H20"/>
  <c r="I14"/>
  <c r="H14"/>
  <c r="I13"/>
  <c r="H13"/>
  <c r="I12"/>
  <c r="H12"/>
  <c r="I11"/>
  <c r="H11"/>
  <c r="I10"/>
  <c r="H10"/>
  <c r="I9"/>
  <c r="H9"/>
  <c r="H8" s="1"/>
  <c r="I8"/>
  <c r="J460" i="3"/>
  <c r="J459"/>
  <c r="N262"/>
  <c r="L262"/>
  <c r="J262"/>
  <c r="O609" i="1" l="1"/>
  <c r="O601" s="1"/>
  <c r="N609"/>
  <c r="N601" s="1"/>
  <c r="O608"/>
  <c r="O600" s="1"/>
  <c r="N608"/>
  <c r="N600" s="1"/>
  <c r="O261"/>
  <c r="O257" s="1"/>
  <c r="N261"/>
  <c r="N257" s="1"/>
  <c r="M257"/>
  <c r="L257"/>
  <c r="K257"/>
  <c r="J257"/>
  <c r="I257"/>
  <c r="H257"/>
  <c r="G257"/>
  <c r="F257"/>
  <c r="E257"/>
  <c r="D257"/>
  <c r="O212"/>
  <c r="O209" s="1"/>
  <c r="N212"/>
  <c r="N209" s="1"/>
  <c r="N659"/>
  <c r="O659"/>
  <c r="N658"/>
  <c r="O658"/>
  <c r="N651"/>
  <c r="O651"/>
  <c r="N650"/>
  <c r="O650"/>
  <c r="N649"/>
  <c r="N616" s="1"/>
  <c r="O649"/>
  <c r="O616" s="1"/>
  <c r="N642"/>
  <c r="O642"/>
  <c r="N641"/>
  <c r="O641"/>
  <c r="N640"/>
  <c r="N615" s="1"/>
  <c r="O640"/>
  <c r="N634"/>
  <c r="N630" s="1"/>
  <c r="O634"/>
  <c r="O630" s="1"/>
  <c r="N607"/>
  <c r="O607"/>
  <c r="O599" s="1"/>
  <c r="N593"/>
  <c r="N589" s="1"/>
  <c r="O593"/>
  <c r="O589" s="1"/>
  <c r="N585"/>
  <c r="O585"/>
  <c r="N584"/>
  <c r="O584"/>
  <c r="N569"/>
  <c r="O569"/>
  <c r="N568"/>
  <c r="O568"/>
  <c r="N561"/>
  <c r="O561"/>
  <c r="N560"/>
  <c r="O560"/>
  <c r="N552"/>
  <c r="O552"/>
  <c r="N520"/>
  <c r="N510" s="1"/>
  <c r="O520"/>
  <c r="O510" s="1"/>
  <c r="N519"/>
  <c r="O519"/>
  <c r="O509" s="1"/>
  <c r="N518"/>
  <c r="O518"/>
  <c r="N509"/>
  <c r="N501"/>
  <c r="N497" s="1"/>
  <c r="O501"/>
  <c r="O497" s="1"/>
  <c r="N493"/>
  <c r="N489" s="1"/>
  <c r="O493"/>
  <c r="O489" s="1"/>
  <c r="N485"/>
  <c r="N481" s="1"/>
  <c r="O485"/>
  <c r="O481" s="1"/>
  <c r="N477"/>
  <c r="N473" s="1"/>
  <c r="O477"/>
  <c r="O473" s="1"/>
  <c r="N469"/>
  <c r="N465" s="1"/>
  <c r="O469"/>
  <c r="N460"/>
  <c r="N457" s="1"/>
  <c r="O460"/>
  <c r="O457" s="1"/>
  <c r="N452"/>
  <c r="N449" s="1"/>
  <c r="O452"/>
  <c r="O449" s="1"/>
  <c r="N436"/>
  <c r="N433" s="1"/>
  <c r="O436"/>
  <c r="O433" s="1"/>
  <c r="N428"/>
  <c r="N425" s="1"/>
  <c r="O428"/>
  <c r="O425" s="1"/>
  <c r="N419"/>
  <c r="N417" s="1"/>
  <c r="O419"/>
  <c r="O417" s="1"/>
  <c r="N411"/>
  <c r="N409" s="1"/>
  <c r="O411"/>
  <c r="O409" s="1"/>
  <c r="N404"/>
  <c r="N401" s="1"/>
  <c r="O404"/>
  <c r="O401" s="1"/>
  <c r="N389"/>
  <c r="N385" s="1"/>
  <c r="O389"/>
  <c r="O385" s="1"/>
  <c r="N381"/>
  <c r="N377" s="1"/>
  <c r="O381"/>
  <c r="O377" s="1"/>
  <c r="N373"/>
  <c r="N369" s="1"/>
  <c r="O373"/>
  <c r="O369" s="1"/>
  <c r="N357"/>
  <c r="N353" s="1"/>
  <c r="O357"/>
  <c r="O353" s="1"/>
  <c r="N349"/>
  <c r="N345" s="1"/>
  <c r="O349"/>
  <c r="O345"/>
  <c r="N341"/>
  <c r="N337" s="1"/>
  <c r="O341"/>
  <c r="O337" s="1"/>
  <c r="N333"/>
  <c r="N329" s="1"/>
  <c r="O333"/>
  <c r="O329" s="1"/>
  <c r="N325"/>
  <c r="N321" s="1"/>
  <c r="O325"/>
  <c r="O321" s="1"/>
  <c r="N316"/>
  <c r="N313" s="1"/>
  <c r="O316"/>
  <c r="O313" s="1"/>
  <c r="N308"/>
  <c r="N305" s="1"/>
  <c r="O308"/>
  <c r="O305" s="1"/>
  <c r="N300"/>
  <c r="N297" s="1"/>
  <c r="O300"/>
  <c r="O297" s="1"/>
  <c r="N285"/>
  <c r="O285"/>
  <c r="N284"/>
  <c r="O284"/>
  <c r="N278"/>
  <c r="N270" s="1"/>
  <c r="O278"/>
  <c r="O270" s="1"/>
  <c r="N277"/>
  <c r="O277"/>
  <c r="N276"/>
  <c r="O276"/>
  <c r="N253"/>
  <c r="N249" s="1"/>
  <c r="O253"/>
  <c r="O249" s="1"/>
  <c r="N244"/>
  <c r="N241" s="1"/>
  <c r="O244"/>
  <c r="O241" s="1"/>
  <c r="N235"/>
  <c r="N233" s="1"/>
  <c r="O235"/>
  <c r="O233" s="1"/>
  <c r="N228"/>
  <c r="O228"/>
  <c r="O221"/>
  <c r="N220"/>
  <c r="O220"/>
  <c r="N219"/>
  <c r="O219"/>
  <c r="O153" s="1"/>
  <c r="N204"/>
  <c r="N201" s="1"/>
  <c r="O204"/>
  <c r="O201" s="1"/>
  <c r="N146"/>
  <c r="O146"/>
  <c r="N138"/>
  <c r="O138"/>
  <c r="N137"/>
  <c r="O137"/>
  <c r="N132"/>
  <c r="N116" s="1"/>
  <c r="O132"/>
  <c r="O116" s="1"/>
  <c r="N130"/>
  <c r="O130"/>
  <c r="N129"/>
  <c r="O129"/>
  <c r="O122"/>
  <c r="N122"/>
  <c r="N121"/>
  <c r="O121"/>
  <c r="N105"/>
  <c r="O105"/>
  <c r="N99"/>
  <c r="O99"/>
  <c r="N91"/>
  <c r="O91"/>
  <c r="N83"/>
  <c r="O83"/>
  <c r="N75"/>
  <c r="O75"/>
  <c r="N33"/>
  <c r="O33"/>
  <c r="N25"/>
  <c r="O25"/>
  <c r="N18"/>
  <c r="O18"/>
  <c r="O577" l="1"/>
  <c r="O281"/>
  <c r="N268"/>
  <c r="N577"/>
  <c r="N655"/>
  <c r="N154"/>
  <c r="N646"/>
  <c r="N281"/>
  <c r="O365"/>
  <c r="O361" s="1"/>
  <c r="N515"/>
  <c r="N229"/>
  <c r="O655"/>
  <c r="N292"/>
  <c r="O395"/>
  <c r="O268"/>
  <c r="N365"/>
  <c r="N361" s="1"/>
  <c r="N395"/>
  <c r="N618"/>
  <c r="O229"/>
  <c r="N605"/>
  <c r="O217"/>
  <c r="O269"/>
  <c r="N269"/>
  <c r="N265" s="1"/>
  <c r="N397"/>
  <c r="O227"/>
  <c r="O273"/>
  <c r="N638"/>
  <c r="N153"/>
  <c r="N227"/>
  <c r="N273"/>
  <c r="O293"/>
  <c r="N599"/>
  <c r="N597" s="1"/>
  <c r="O618"/>
  <c r="O646"/>
  <c r="O638"/>
  <c r="O615"/>
  <c r="O605"/>
  <c r="O597"/>
  <c r="O581"/>
  <c r="N581"/>
  <c r="O576"/>
  <c r="O573" s="1"/>
  <c r="N576"/>
  <c r="O565"/>
  <c r="N565"/>
  <c r="O557"/>
  <c r="N557"/>
  <c r="O515"/>
  <c r="O508"/>
  <c r="N508"/>
  <c r="O397"/>
  <c r="O465"/>
  <c r="N293"/>
  <c r="O292"/>
  <c r="O155"/>
  <c r="O154"/>
  <c r="N114"/>
  <c r="O114"/>
  <c r="O113"/>
  <c r="N113"/>
  <c r="R415" i="3"/>
  <c r="S415"/>
  <c r="R414"/>
  <c r="S414"/>
  <c r="S456"/>
  <c r="R456"/>
  <c r="O265" i="1" l="1"/>
  <c r="N573"/>
  <c r="N225"/>
  <c r="O225"/>
  <c r="O289"/>
  <c r="N289"/>
  <c r="O151"/>
  <c r="S410" i="3"/>
  <c r="R410"/>
  <c r="S289"/>
  <c r="R289"/>
  <c r="Q289"/>
  <c r="P289"/>
  <c r="O289"/>
  <c r="N289"/>
  <c r="M289"/>
  <c r="L289"/>
  <c r="K289"/>
  <c r="J289"/>
  <c r="I289"/>
  <c r="H289"/>
  <c r="Q485"/>
  <c r="R485"/>
  <c r="S485"/>
  <c r="R489"/>
  <c r="S489"/>
  <c r="O625" i="1" s="1"/>
  <c r="R478" i="3"/>
  <c r="S478"/>
  <c r="R368"/>
  <c r="S368"/>
  <c r="S379"/>
  <c r="O444" i="1" s="1"/>
  <c r="R379" i="3"/>
  <c r="N444" i="1" s="1"/>
  <c r="R319" i="3"/>
  <c r="R295" s="1"/>
  <c r="R315"/>
  <c r="R294" s="1"/>
  <c r="S319"/>
  <c r="S315"/>
  <c r="R331"/>
  <c r="S331"/>
  <c r="S294" l="1"/>
  <c r="N441" i="1"/>
  <c r="N396"/>
  <c r="N393" s="1"/>
  <c r="O622"/>
  <c r="O617"/>
  <c r="O613" s="1"/>
  <c r="O441"/>
  <c r="O396"/>
  <c r="O393" s="1"/>
  <c r="N625"/>
  <c r="R296" i="3"/>
  <c r="S296"/>
  <c r="S295"/>
  <c r="R274"/>
  <c r="R265"/>
  <c r="S265"/>
  <c r="S40"/>
  <c r="R40"/>
  <c r="S58"/>
  <c r="R58"/>
  <c r="S45"/>
  <c r="R45"/>
  <c r="S33"/>
  <c r="R33"/>
  <c r="S32"/>
  <c r="R32"/>
  <c r="S41"/>
  <c r="R41"/>
  <c r="S89"/>
  <c r="O59" i="1" s="1"/>
  <c r="R89" i="3"/>
  <c r="N59" i="1" s="1"/>
  <c r="S97" i="3"/>
  <c r="S94"/>
  <c r="R97"/>
  <c r="R94"/>
  <c r="S83"/>
  <c r="O42" i="1" s="1"/>
  <c r="R83" i="3"/>
  <c r="N42" i="1" s="1"/>
  <c r="S86" i="3"/>
  <c r="O50" i="1" s="1"/>
  <c r="R86" i="3"/>
  <c r="N50" i="1" s="1"/>
  <c r="S191" i="3"/>
  <c r="R191"/>
  <c r="S194"/>
  <c r="R194"/>
  <c r="S188"/>
  <c r="R188"/>
  <c r="S177"/>
  <c r="R177"/>
  <c r="S176"/>
  <c r="R176"/>
  <c r="R163" s="1"/>
  <c r="S169"/>
  <c r="R169"/>
  <c r="S152"/>
  <c r="R152"/>
  <c r="S154"/>
  <c r="R154"/>
  <c r="S149"/>
  <c r="R149"/>
  <c r="N131" i="1" s="1"/>
  <c r="N127" s="1"/>
  <c r="S126" i="3"/>
  <c r="O123" i="1" s="1"/>
  <c r="R126" i="3"/>
  <c r="N123" i="1" s="1"/>
  <c r="R442" i="3"/>
  <c r="S442"/>
  <c r="O139" i="1" l="1"/>
  <c r="O135" s="1"/>
  <c r="S13" i="3"/>
  <c r="S12" s="1"/>
  <c r="O147" i="1"/>
  <c r="O143" s="1"/>
  <c r="N67"/>
  <c r="N106"/>
  <c r="N107"/>
  <c r="N11" s="1"/>
  <c r="O119"/>
  <c r="S163" i="3"/>
  <c r="R13"/>
  <c r="R12" s="1"/>
  <c r="N221" i="1"/>
  <c r="O131"/>
  <c r="O127" s="1"/>
  <c r="O106"/>
  <c r="O107"/>
  <c r="N119"/>
  <c r="N139"/>
  <c r="N135" s="1"/>
  <c r="N147"/>
  <c r="N143" s="1"/>
  <c r="N10"/>
  <c r="O67"/>
  <c r="N622"/>
  <c r="N617"/>
  <c r="N613" s="1"/>
  <c r="E277"/>
  <c r="F277"/>
  <c r="G277"/>
  <c r="H277"/>
  <c r="I277"/>
  <c r="J277"/>
  <c r="K277"/>
  <c r="L277"/>
  <c r="M277"/>
  <c r="D277"/>
  <c r="O460" i="3"/>
  <c r="O459"/>
  <c r="O379"/>
  <c r="O298"/>
  <c r="O261"/>
  <c r="O194"/>
  <c r="O191"/>
  <c r="O188"/>
  <c r="O164"/>
  <c r="O137"/>
  <c r="O116"/>
  <c r="O97"/>
  <c r="O95"/>
  <c r="O94"/>
  <c r="O89"/>
  <c r="O83"/>
  <c r="O75"/>
  <c r="O74"/>
  <c r="O58"/>
  <c r="O41"/>
  <c r="O40"/>
  <c r="O34"/>
  <c r="O33"/>
  <c r="O32"/>
  <c r="O28"/>
  <c r="O16"/>
  <c r="O15"/>
  <c r="O14"/>
  <c r="M460"/>
  <c r="M459"/>
  <c r="M379"/>
  <c r="H319"/>
  <c r="H295" s="1"/>
  <c r="I319"/>
  <c r="J319"/>
  <c r="J295" s="1"/>
  <c r="K319"/>
  <c r="L319"/>
  <c r="M319"/>
  <c r="N319"/>
  <c r="N295" s="1"/>
  <c r="O319"/>
  <c r="O295" s="1"/>
  <c r="P319"/>
  <c r="Q319"/>
  <c r="Q295" s="1"/>
  <c r="M261"/>
  <c r="M194"/>
  <c r="M191"/>
  <c r="M188"/>
  <c r="M97"/>
  <c r="M95"/>
  <c r="M94"/>
  <c r="M89"/>
  <c r="M83"/>
  <c r="M58"/>
  <c r="M41"/>
  <c r="M40"/>
  <c r="M33"/>
  <c r="M32"/>
  <c r="M28"/>
  <c r="K379"/>
  <c r="K261"/>
  <c r="K194"/>
  <c r="K191"/>
  <c r="K188"/>
  <c r="K97"/>
  <c r="K95"/>
  <c r="K94"/>
  <c r="K89"/>
  <c r="K83"/>
  <c r="K33"/>
  <c r="K32"/>
  <c r="K28"/>
  <c r="N103" i="1" l="1"/>
  <c r="O103"/>
  <c r="N115"/>
  <c r="N111" s="1"/>
  <c r="O115"/>
  <c r="O111" s="1"/>
  <c r="N155"/>
  <c r="N151" s="1"/>
  <c r="N217"/>
  <c r="P295" i="3"/>
  <c r="L295"/>
  <c r="K295"/>
  <c r="M295"/>
  <c r="I295"/>
  <c r="K650" i="1"/>
  <c r="J650"/>
  <c r="I650"/>
  <c r="H650"/>
  <c r="G650"/>
  <c r="F650"/>
  <c r="E650"/>
  <c r="D650"/>
  <c r="K649"/>
  <c r="K616" s="1"/>
  <c r="J649"/>
  <c r="J616" s="1"/>
  <c r="I649"/>
  <c r="I616" s="1"/>
  <c r="H649"/>
  <c r="H616" s="1"/>
  <c r="G649"/>
  <c r="G616" s="1"/>
  <c r="F649"/>
  <c r="F616" s="1"/>
  <c r="E649"/>
  <c r="E616" s="1"/>
  <c r="D649"/>
  <c r="D616" s="1"/>
  <c r="M649"/>
  <c r="M616" s="1"/>
  <c r="L649"/>
  <c r="O478" i="3"/>
  <c r="N478"/>
  <c r="M478"/>
  <c r="L478"/>
  <c r="K478"/>
  <c r="J478"/>
  <c r="I478"/>
  <c r="H478"/>
  <c r="Q484"/>
  <c r="P484"/>
  <c r="N194"/>
  <c r="K659" i="1"/>
  <c r="J659"/>
  <c r="I659"/>
  <c r="H659"/>
  <c r="G659"/>
  <c r="F659"/>
  <c r="E659"/>
  <c r="D659"/>
  <c r="K658"/>
  <c r="J658"/>
  <c r="I658"/>
  <c r="H658"/>
  <c r="G658"/>
  <c r="F658"/>
  <c r="E658"/>
  <c r="D658"/>
  <c r="M659"/>
  <c r="M658"/>
  <c r="L659"/>
  <c r="L658"/>
  <c r="K651"/>
  <c r="J651"/>
  <c r="I651"/>
  <c r="H651"/>
  <c r="G651"/>
  <c r="F651"/>
  <c r="E651"/>
  <c r="D651"/>
  <c r="M651"/>
  <c r="L651"/>
  <c r="M642"/>
  <c r="M641"/>
  <c r="K642"/>
  <c r="J642"/>
  <c r="I642"/>
  <c r="H642"/>
  <c r="G642"/>
  <c r="F642"/>
  <c r="E642"/>
  <c r="D642"/>
  <c r="K641"/>
  <c r="J641"/>
  <c r="I641"/>
  <c r="H641"/>
  <c r="G641"/>
  <c r="F641"/>
  <c r="E641"/>
  <c r="D641"/>
  <c r="K640"/>
  <c r="K615" s="1"/>
  <c r="J640"/>
  <c r="J615" s="1"/>
  <c r="I640"/>
  <c r="I615" s="1"/>
  <c r="H640"/>
  <c r="H615" s="1"/>
  <c r="G640"/>
  <c r="G615" s="1"/>
  <c r="F640"/>
  <c r="F615" s="1"/>
  <c r="E640"/>
  <c r="E615" s="1"/>
  <c r="D640"/>
  <c r="D615" s="1"/>
  <c r="M640"/>
  <c r="M615" s="1"/>
  <c r="L641"/>
  <c r="L642"/>
  <c r="L640"/>
  <c r="L615" s="1"/>
  <c r="K634"/>
  <c r="K618" s="1"/>
  <c r="J634"/>
  <c r="I634"/>
  <c r="H634"/>
  <c r="G634"/>
  <c r="G618" s="1"/>
  <c r="F634"/>
  <c r="E634"/>
  <c r="D634"/>
  <c r="M634"/>
  <c r="L634"/>
  <c r="K609"/>
  <c r="I609"/>
  <c r="G609"/>
  <c r="F609"/>
  <c r="E609"/>
  <c r="D609"/>
  <c r="L460" i="3"/>
  <c r="N460"/>
  <c r="N459"/>
  <c r="L459"/>
  <c r="E585" i="1"/>
  <c r="F585"/>
  <c r="G585"/>
  <c r="H585"/>
  <c r="I585"/>
  <c r="J585"/>
  <c r="K585"/>
  <c r="L585"/>
  <c r="M585"/>
  <c r="D585"/>
  <c r="D584"/>
  <c r="D576" s="1"/>
  <c r="L584"/>
  <c r="L576" s="1"/>
  <c r="K593"/>
  <c r="J593"/>
  <c r="I593"/>
  <c r="H593"/>
  <c r="G593"/>
  <c r="F593"/>
  <c r="E593"/>
  <c r="D593"/>
  <c r="M593"/>
  <c r="L593"/>
  <c r="K584"/>
  <c r="K576" s="1"/>
  <c r="J584"/>
  <c r="J576" s="1"/>
  <c r="I584"/>
  <c r="I576" s="1"/>
  <c r="H584"/>
  <c r="H576" s="1"/>
  <c r="G584"/>
  <c r="G576" s="1"/>
  <c r="F584"/>
  <c r="F576" s="1"/>
  <c r="E584"/>
  <c r="E576" s="1"/>
  <c r="M584"/>
  <c r="M576" s="1"/>
  <c r="L449" i="3"/>
  <c r="N545" i="1"/>
  <c r="O545"/>
  <c r="K568"/>
  <c r="J568"/>
  <c r="I568"/>
  <c r="H568"/>
  <c r="G568"/>
  <c r="F568"/>
  <c r="E568"/>
  <c r="D568"/>
  <c r="M568"/>
  <c r="L568"/>
  <c r="K569"/>
  <c r="J569"/>
  <c r="I569"/>
  <c r="H569"/>
  <c r="G569"/>
  <c r="F569"/>
  <c r="E569"/>
  <c r="D569"/>
  <c r="M569"/>
  <c r="L569"/>
  <c r="K561"/>
  <c r="J561"/>
  <c r="I561"/>
  <c r="H561"/>
  <c r="G561"/>
  <c r="F561"/>
  <c r="E561"/>
  <c r="D561"/>
  <c r="M561"/>
  <c r="L561"/>
  <c r="K560"/>
  <c r="J560"/>
  <c r="I560"/>
  <c r="H560"/>
  <c r="G560"/>
  <c r="F560"/>
  <c r="E560"/>
  <c r="D560"/>
  <c r="M560"/>
  <c r="L560"/>
  <c r="K552"/>
  <c r="J552"/>
  <c r="I552"/>
  <c r="H552"/>
  <c r="G552"/>
  <c r="F552"/>
  <c r="E552"/>
  <c r="D552"/>
  <c r="M552"/>
  <c r="N544"/>
  <c r="O544"/>
  <c r="L552"/>
  <c r="L529"/>
  <c r="K536"/>
  <c r="J536"/>
  <c r="I536"/>
  <c r="H536"/>
  <c r="G536"/>
  <c r="F536"/>
  <c r="E536"/>
  <c r="D536"/>
  <c r="M536"/>
  <c r="L536"/>
  <c r="K518"/>
  <c r="J518"/>
  <c r="I518"/>
  <c r="H518"/>
  <c r="G518"/>
  <c r="F518"/>
  <c r="E518"/>
  <c r="D518"/>
  <c r="M518"/>
  <c r="L518"/>
  <c r="G436"/>
  <c r="G433" s="1"/>
  <c r="F436"/>
  <c r="E436"/>
  <c r="D436"/>
  <c r="D433" s="1"/>
  <c r="K436"/>
  <c r="K433" s="1"/>
  <c r="J436"/>
  <c r="J433" s="1"/>
  <c r="I436"/>
  <c r="H436"/>
  <c r="H433" s="1"/>
  <c r="M436"/>
  <c r="M433" s="1"/>
  <c r="L436"/>
  <c r="L433" s="1"/>
  <c r="K501"/>
  <c r="J501"/>
  <c r="I501"/>
  <c r="I497" s="1"/>
  <c r="H501"/>
  <c r="H497" s="1"/>
  <c r="G501"/>
  <c r="G497" s="1"/>
  <c r="F501"/>
  <c r="F497" s="1"/>
  <c r="E501"/>
  <c r="E497" s="1"/>
  <c r="D501"/>
  <c r="D497" s="1"/>
  <c r="K497"/>
  <c r="J497"/>
  <c r="M501"/>
  <c r="M497" s="1"/>
  <c r="L501"/>
  <c r="L497" s="1"/>
  <c r="K493"/>
  <c r="J493"/>
  <c r="I493"/>
  <c r="H493"/>
  <c r="G493"/>
  <c r="F493"/>
  <c r="E493"/>
  <c r="D493"/>
  <c r="M493"/>
  <c r="L493"/>
  <c r="K485"/>
  <c r="K481" s="1"/>
  <c r="J485"/>
  <c r="J481" s="1"/>
  <c r="I485"/>
  <c r="I481" s="1"/>
  <c r="H485"/>
  <c r="H481" s="1"/>
  <c r="G485"/>
  <c r="G481" s="1"/>
  <c r="F485"/>
  <c r="F481" s="1"/>
  <c r="E485"/>
  <c r="E481" s="1"/>
  <c r="D485"/>
  <c r="D481" s="1"/>
  <c r="M485"/>
  <c r="M481" s="1"/>
  <c r="L485"/>
  <c r="L481" s="1"/>
  <c r="K477"/>
  <c r="K473" s="1"/>
  <c r="J477"/>
  <c r="J473" s="1"/>
  <c r="I477"/>
  <c r="I473" s="1"/>
  <c r="H477"/>
  <c r="H473" s="1"/>
  <c r="G477"/>
  <c r="G473" s="1"/>
  <c r="F477"/>
  <c r="F473" s="1"/>
  <c r="E477"/>
  <c r="E473" s="1"/>
  <c r="D477"/>
  <c r="D473" s="1"/>
  <c r="M477"/>
  <c r="M473" s="1"/>
  <c r="L477"/>
  <c r="L473" s="1"/>
  <c r="K469"/>
  <c r="J469"/>
  <c r="I469"/>
  <c r="H469"/>
  <c r="G469"/>
  <c r="F469"/>
  <c r="E469"/>
  <c r="D469"/>
  <c r="M469"/>
  <c r="L469"/>
  <c r="K460"/>
  <c r="J460"/>
  <c r="I460"/>
  <c r="H460"/>
  <c r="G460"/>
  <c r="F460"/>
  <c r="E460"/>
  <c r="D460"/>
  <c r="M460"/>
  <c r="L460"/>
  <c r="K452"/>
  <c r="J452"/>
  <c r="I452"/>
  <c r="H452"/>
  <c r="G452"/>
  <c r="F452"/>
  <c r="D452"/>
  <c r="M452"/>
  <c r="L452"/>
  <c r="K444"/>
  <c r="K441" s="1"/>
  <c r="I444"/>
  <c r="I441" s="1"/>
  <c r="G444"/>
  <c r="G441" s="1"/>
  <c r="E444"/>
  <c r="E441" s="1"/>
  <c r="D444"/>
  <c r="D441" s="1"/>
  <c r="K428"/>
  <c r="J428"/>
  <c r="I428"/>
  <c r="H428"/>
  <c r="G428"/>
  <c r="F428"/>
  <c r="E428"/>
  <c r="D428"/>
  <c r="M428"/>
  <c r="L428"/>
  <c r="K419"/>
  <c r="J419"/>
  <c r="I419"/>
  <c r="H419"/>
  <c r="G419"/>
  <c r="F419"/>
  <c r="E419"/>
  <c r="D419"/>
  <c r="M419"/>
  <c r="L419"/>
  <c r="K411"/>
  <c r="K409" s="1"/>
  <c r="J411"/>
  <c r="J409" s="1"/>
  <c r="I411"/>
  <c r="H411"/>
  <c r="H409" s="1"/>
  <c r="G411"/>
  <c r="F411"/>
  <c r="F409" s="1"/>
  <c r="E411"/>
  <c r="D411"/>
  <c r="M411"/>
  <c r="M409" s="1"/>
  <c r="L411"/>
  <c r="L409" s="1"/>
  <c r="K404"/>
  <c r="J404"/>
  <c r="I404"/>
  <c r="H404"/>
  <c r="G404"/>
  <c r="F404"/>
  <c r="E404"/>
  <c r="D404"/>
  <c r="M404"/>
  <c r="L404"/>
  <c r="N379" i="3"/>
  <c r="L379"/>
  <c r="J379"/>
  <c r="K373" i="1"/>
  <c r="J373"/>
  <c r="I373"/>
  <c r="H373"/>
  <c r="G373"/>
  <c r="F373"/>
  <c r="D373"/>
  <c r="M373"/>
  <c r="L373"/>
  <c r="K381"/>
  <c r="J381"/>
  <c r="I381"/>
  <c r="H381"/>
  <c r="G381"/>
  <c r="F381"/>
  <c r="E381"/>
  <c r="D381"/>
  <c r="M381"/>
  <c r="L381"/>
  <c r="K389"/>
  <c r="K385" s="1"/>
  <c r="J389"/>
  <c r="J385" s="1"/>
  <c r="I389"/>
  <c r="I385" s="1"/>
  <c r="H389"/>
  <c r="H385" s="1"/>
  <c r="G389"/>
  <c r="G385" s="1"/>
  <c r="F389"/>
  <c r="F385" s="1"/>
  <c r="E389"/>
  <c r="E385" s="1"/>
  <c r="D389"/>
  <c r="D385" s="1"/>
  <c r="M389"/>
  <c r="M385" s="1"/>
  <c r="L389"/>
  <c r="L385" s="1"/>
  <c r="K357"/>
  <c r="J357"/>
  <c r="I357"/>
  <c r="H357"/>
  <c r="G357"/>
  <c r="F357"/>
  <c r="E357"/>
  <c r="D357"/>
  <c r="M357"/>
  <c r="L357"/>
  <c r="K349"/>
  <c r="J349"/>
  <c r="I349"/>
  <c r="H349"/>
  <c r="G349"/>
  <c r="F349"/>
  <c r="E349"/>
  <c r="D349"/>
  <c r="M349"/>
  <c r="L349"/>
  <c r="K341"/>
  <c r="J341"/>
  <c r="I341"/>
  <c r="H341"/>
  <c r="G341"/>
  <c r="F341"/>
  <c r="E341"/>
  <c r="D341"/>
  <c r="M341"/>
  <c r="L341"/>
  <c r="K333"/>
  <c r="K329" s="1"/>
  <c r="J333"/>
  <c r="J329" s="1"/>
  <c r="I333"/>
  <c r="I329" s="1"/>
  <c r="H333"/>
  <c r="H329" s="1"/>
  <c r="G333"/>
  <c r="G329" s="1"/>
  <c r="F333"/>
  <c r="F329" s="1"/>
  <c r="E333"/>
  <c r="E329" s="1"/>
  <c r="D333"/>
  <c r="D329" s="1"/>
  <c r="M333"/>
  <c r="M329" s="1"/>
  <c r="L333"/>
  <c r="L329" s="1"/>
  <c r="K325"/>
  <c r="J325"/>
  <c r="I325"/>
  <c r="H325"/>
  <c r="G325"/>
  <c r="F325"/>
  <c r="E325"/>
  <c r="D325"/>
  <c r="M325"/>
  <c r="L325"/>
  <c r="K316"/>
  <c r="J316"/>
  <c r="I316"/>
  <c r="H316"/>
  <c r="G316"/>
  <c r="F316"/>
  <c r="E316"/>
  <c r="D316"/>
  <c r="M316"/>
  <c r="L316"/>
  <c r="K308"/>
  <c r="J308"/>
  <c r="I308"/>
  <c r="H308"/>
  <c r="G308"/>
  <c r="F308"/>
  <c r="M308"/>
  <c r="L308"/>
  <c r="I315" i="3"/>
  <c r="H315"/>
  <c r="O315"/>
  <c r="O296" s="1"/>
  <c r="N315"/>
  <c r="M315"/>
  <c r="L315"/>
  <c r="L296" s="1"/>
  <c r="K315"/>
  <c r="K296" s="1"/>
  <c r="J315"/>
  <c r="I331"/>
  <c r="I294" s="1"/>
  <c r="H331"/>
  <c r="O331"/>
  <c r="N331"/>
  <c r="M331"/>
  <c r="L331"/>
  <c r="K331"/>
  <c r="J331"/>
  <c r="K276" i="1"/>
  <c r="I276"/>
  <c r="H276"/>
  <c r="G276"/>
  <c r="F276"/>
  <c r="I285"/>
  <c r="H285"/>
  <c r="G285"/>
  <c r="F285"/>
  <c r="K285"/>
  <c r="J285"/>
  <c r="E285"/>
  <c r="D285"/>
  <c r="M285"/>
  <c r="M269" s="1"/>
  <c r="L285"/>
  <c r="L269" s="1"/>
  <c r="K284"/>
  <c r="J284"/>
  <c r="I284"/>
  <c r="H284"/>
  <c r="G284"/>
  <c r="F284"/>
  <c r="E284"/>
  <c r="D284"/>
  <c r="M284"/>
  <c r="L284"/>
  <c r="M278"/>
  <c r="M270" s="1"/>
  <c r="K278"/>
  <c r="K270" s="1"/>
  <c r="J278"/>
  <c r="J270" s="1"/>
  <c r="I278"/>
  <c r="I270" s="1"/>
  <c r="H278"/>
  <c r="H270" s="1"/>
  <c r="G278"/>
  <c r="G270" s="1"/>
  <c r="F278"/>
  <c r="E278"/>
  <c r="D278"/>
  <c r="L278"/>
  <c r="L270" s="1"/>
  <c r="N298" i="3"/>
  <c r="N261"/>
  <c r="L261"/>
  <c r="J261"/>
  <c r="K221" i="1"/>
  <c r="K155" s="1"/>
  <c r="J221"/>
  <c r="J155" s="1"/>
  <c r="I221"/>
  <c r="I155" s="1"/>
  <c r="H221"/>
  <c r="H155" s="1"/>
  <c r="G221"/>
  <c r="G155" s="1"/>
  <c r="F221"/>
  <c r="F155" s="1"/>
  <c r="M221"/>
  <c r="M155" s="1"/>
  <c r="L221"/>
  <c r="L155" s="1"/>
  <c r="K220"/>
  <c r="J220"/>
  <c r="I220"/>
  <c r="H220"/>
  <c r="G220"/>
  <c r="F220"/>
  <c r="M220"/>
  <c r="L220"/>
  <c r="K219"/>
  <c r="J219"/>
  <c r="J153" s="1"/>
  <c r="I219"/>
  <c r="I153" s="1"/>
  <c r="H219"/>
  <c r="H153" s="1"/>
  <c r="G219"/>
  <c r="G153" s="1"/>
  <c r="F219"/>
  <c r="F153" s="1"/>
  <c r="M219"/>
  <c r="M153" s="1"/>
  <c r="L219"/>
  <c r="L153" s="1"/>
  <c r="K212"/>
  <c r="K209" s="1"/>
  <c r="I212"/>
  <c r="I209" s="1"/>
  <c r="G212"/>
  <c r="G209" s="1"/>
  <c r="K204"/>
  <c r="K201" s="1"/>
  <c r="J204"/>
  <c r="J201" s="1"/>
  <c r="I204"/>
  <c r="I201" s="1"/>
  <c r="H204"/>
  <c r="H201" s="1"/>
  <c r="G204"/>
  <c r="F204"/>
  <c r="F201" s="1"/>
  <c r="M204"/>
  <c r="M201" s="1"/>
  <c r="L204"/>
  <c r="L201" s="1"/>
  <c r="E195"/>
  <c r="D195"/>
  <c r="E187"/>
  <c r="D187"/>
  <c r="D184" s="1"/>
  <c r="E179"/>
  <c r="D179"/>
  <c r="E178"/>
  <c r="D178"/>
  <c r="E172"/>
  <c r="D172"/>
  <c r="E171"/>
  <c r="D171"/>
  <c r="E164"/>
  <c r="E155" s="1"/>
  <c r="D164"/>
  <c r="E163"/>
  <c r="D163"/>
  <c r="E162"/>
  <c r="D162"/>
  <c r="H609" l="1"/>
  <c r="N296" i="3"/>
  <c r="F444" i="1"/>
  <c r="F441" s="1"/>
  <c r="J212"/>
  <c r="J154" s="1"/>
  <c r="J151" s="1"/>
  <c r="L294" i="3"/>
  <c r="H294"/>
  <c r="H444" i="1"/>
  <c r="H441" s="1"/>
  <c r="N541"/>
  <c r="F212"/>
  <c r="F209" s="1"/>
  <c r="H212"/>
  <c r="H209" s="1"/>
  <c r="J276"/>
  <c r="M294" i="3"/>
  <c r="J444" i="1"/>
  <c r="J441" s="1"/>
  <c r="J609"/>
  <c r="M296" i="3"/>
  <c r="J296"/>
  <c r="O541" i="1"/>
  <c r="G544"/>
  <c r="K544"/>
  <c r="M545"/>
  <c r="J577"/>
  <c r="M618"/>
  <c r="K646"/>
  <c r="D618"/>
  <c r="K395"/>
  <c r="L618"/>
  <c r="F618"/>
  <c r="J618"/>
  <c r="E618"/>
  <c r="I618"/>
  <c r="H618"/>
  <c r="D646"/>
  <c r="L616"/>
  <c r="H646"/>
  <c r="D397"/>
  <c r="H397"/>
  <c r="G508"/>
  <c r="K508"/>
  <c r="O294" i="3"/>
  <c r="D508" i="1"/>
  <c r="I545"/>
  <c r="I577"/>
  <c r="D577"/>
  <c r="D573" s="1"/>
  <c r="L577"/>
  <c r="H577"/>
  <c r="K294" i="3"/>
  <c r="L397" i="1"/>
  <c r="H508"/>
  <c r="F508"/>
  <c r="J508"/>
  <c r="L544"/>
  <c r="D544"/>
  <c r="H544"/>
  <c r="F544"/>
  <c r="J544"/>
  <c r="D545"/>
  <c r="H545"/>
  <c r="L545"/>
  <c r="D395"/>
  <c r="M397"/>
  <c r="G397"/>
  <c r="K397"/>
  <c r="M577"/>
  <c r="G646"/>
  <c r="E646"/>
  <c r="I646"/>
  <c r="G395"/>
  <c r="F646"/>
  <c r="J646"/>
  <c r="D409"/>
  <c r="H395"/>
  <c r="M395"/>
  <c r="E545"/>
  <c r="G577"/>
  <c r="F396"/>
  <c r="K577"/>
  <c r="E397"/>
  <c r="I397"/>
  <c r="L395"/>
  <c r="E508"/>
  <c r="I508"/>
  <c r="M508"/>
  <c r="E544"/>
  <c r="I544"/>
  <c r="M544"/>
  <c r="G545"/>
  <c r="K545"/>
  <c r="F577"/>
  <c r="G409"/>
  <c r="F397"/>
  <c r="J397"/>
  <c r="F545"/>
  <c r="J545"/>
  <c r="E577"/>
  <c r="I396"/>
  <c r="I433"/>
  <c r="K396"/>
  <c r="E395"/>
  <c r="E409"/>
  <c r="I395"/>
  <c r="I409"/>
  <c r="L508"/>
  <c r="L565"/>
  <c r="J395"/>
  <c r="F395"/>
  <c r="L293"/>
  <c r="F293"/>
  <c r="J293"/>
  <c r="D396"/>
  <c r="F433"/>
  <c r="G396"/>
  <c r="E433"/>
  <c r="M365"/>
  <c r="M293"/>
  <c r="G293"/>
  <c r="K293"/>
  <c r="E153"/>
  <c r="D365"/>
  <c r="H365"/>
  <c r="I365"/>
  <c r="L365"/>
  <c r="L361" s="1"/>
  <c r="F365"/>
  <c r="J365"/>
  <c r="G365"/>
  <c r="K365"/>
  <c r="D293"/>
  <c r="H293"/>
  <c r="E293"/>
  <c r="I293"/>
  <c r="H269"/>
  <c r="G217"/>
  <c r="I268"/>
  <c r="D153"/>
  <c r="D176"/>
  <c r="E154"/>
  <c r="G154"/>
  <c r="G151" s="1"/>
  <c r="K154"/>
  <c r="K269"/>
  <c r="H268"/>
  <c r="D160"/>
  <c r="I269"/>
  <c r="D154"/>
  <c r="H273"/>
  <c r="G268"/>
  <c r="K268"/>
  <c r="K217"/>
  <c r="M217"/>
  <c r="I154"/>
  <c r="I151" s="1"/>
  <c r="G269"/>
  <c r="G201"/>
  <c r="K153"/>
  <c r="F217"/>
  <c r="D155"/>
  <c r="F268"/>
  <c r="J268"/>
  <c r="J269"/>
  <c r="J294" i="3"/>
  <c r="N294"/>
  <c r="J273" i="1"/>
  <c r="J217"/>
  <c r="L217"/>
  <c r="H217"/>
  <c r="I217"/>
  <c r="D168"/>
  <c r="L194" i="3"/>
  <c r="J194"/>
  <c r="N191"/>
  <c r="L191"/>
  <c r="J191"/>
  <c r="N188"/>
  <c r="L188"/>
  <c r="J188"/>
  <c r="N164"/>
  <c r="N137"/>
  <c r="N116"/>
  <c r="K147" i="1"/>
  <c r="I147"/>
  <c r="G147"/>
  <c r="E147"/>
  <c r="K146"/>
  <c r="J146"/>
  <c r="I146"/>
  <c r="H146"/>
  <c r="G146"/>
  <c r="F146"/>
  <c r="E146"/>
  <c r="D146"/>
  <c r="M146"/>
  <c r="L146"/>
  <c r="J209" l="1"/>
  <c r="H154"/>
  <c r="H151" s="1"/>
  <c r="F154"/>
  <c r="F151" s="1"/>
  <c r="H396"/>
  <c r="J396"/>
  <c r="D393"/>
  <c r="E151"/>
  <c r="H147"/>
  <c r="J147"/>
  <c r="F147"/>
  <c r="K151"/>
  <c r="H265"/>
  <c r="J265"/>
  <c r="K139"/>
  <c r="J139"/>
  <c r="I139"/>
  <c r="H139"/>
  <c r="G139"/>
  <c r="F139"/>
  <c r="E139"/>
  <c r="D139"/>
  <c r="M139"/>
  <c r="L139"/>
  <c r="K138"/>
  <c r="J138"/>
  <c r="I138"/>
  <c r="H138"/>
  <c r="G138"/>
  <c r="F138"/>
  <c r="K137"/>
  <c r="J137"/>
  <c r="I137"/>
  <c r="H137"/>
  <c r="G137"/>
  <c r="F137"/>
  <c r="E137"/>
  <c r="D137"/>
  <c r="M137"/>
  <c r="L137"/>
  <c r="K131"/>
  <c r="J131"/>
  <c r="I131"/>
  <c r="H131"/>
  <c r="G131"/>
  <c r="F131"/>
  <c r="E131"/>
  <c r="D131"/>
  <c r="M131"/>
  <c r="L131"/>
  <c r="K132"/>
  <c r="J132"/>
  <c r="I132"/>
  <c r="H132"/>
  <c r="G132"/>
  <c r="F132"/>
  <c r="E132"/>
  <c r="D132"/>
  <c r="M132"/>
  <c r="L132"/>
  <c r="K130"/>
  <c r="J130"/>
  <c r="I130"/>
  <c r="H130"/>
  <c r="G130"/>
  <c r="F130"/>
  <c r="K129"/>
  <c r="J129"/>
  <c r="I129"/>
  <c r="H129"/>
  <c r="G129"/>
  <c r="F129"/>
  <c r="E129"/>
  <c r="D129"/>
  <c r="M129"/>
  <c r="L129"/>
  <c r="K123"/>
  <c r="J123"/>
  <c r="I123"/>
  <c r="H123"/>
  <c r="G123"/>
  <c r="F123"/>
  <c r="E123"/>
  <c r="D123"/>
  <c r="M123"/>
  <c r="L123"/>
  <c r="K122"/>
  <c r="J122"/>
  <c r="I122"/>
  <c r="H122"/>
  <c r="G122"/>
  <c r="F122"/>
  <c r="E121"/>
  <c r="D121"/>
  <c r="K121"/>
  <c r="J121"/>
  <c r="I121"/>
  <c r="H121"/>
  <c r="G121"/>
  <c r="F121"/>
  <c r="M121"/>
  <c r="L121"/>
  <c r="N14" i="3"/>
  <c r="J32"/>
  <c r="N97" l="1"/>
  <c r="L97"/>
  <c r="J97"/>
  <c r="N95"/>
  <c r="L95"/>
  <c r="J95"/>
  <c r="N94"/>
  <c r="L94"/>
  <c r="J94"/>
  <c r="N89"/>
  <c r="L89"/>
  <c r="J89"/>
  <c r="J83"/>
  <c r="L83"/>
  <c r="N83"/>
  <c r="N75"/>
  <c r="N74"/>
  <c r="L74"/>
  <c r="L58"/>
  <c r="N58"/>
  <c r="N41"/>
  <c r="L41"/>
  <c r="L40"/>
  <c r="N40"/>
  <c r="N33"/>
  <c r="N32"/>
  <c r="L32"/>
  <c r="N28"/>
  <c r="L28"/>
  <c r="J28"/>
  <c r="N16"/>
  <c r="N15"/>
  <c r="J13" l="1"/>
  <c r="K107" i="1"/>
  <c r="J107"/>
  <c r="I107"/>
  <c r="H107"/>
  <c r="G107"/>
  <c r="F107"/>
  <c r="E107"/>
  <c r="D107"/>
  <c r="K106"/>
  <c r="J106"/>
  <c r="I106"/>
  <c r="H106"/>
  <c r="G106"/>
  <c r="F106"/>
  <c r="K105"/>
  <c r="J105"/>
  <c r="I105"/>
  <c r="H105"/>
  <c r="G105"/>
  <c r="F105"/>
  <c r="E105"/>
  <c r="D105"/>
  <c r="K99"/>
  <c r="J99"/>
  <c r="I99"/>
  <c r="H99"/>
  <c r="G99"/>
  <c r="F99"/>
  <c r="E99"/>
  <c r="D99"/>
  <c r="M99"/>
  <c r="L99"/>
  <c r="K83"/>
  <c r="J83"/>
  <c r="I83"/>
  <c r="H83"/>
  <c r="G83"/>
  <c r="F83"/>
  <c r="E83"/>
  <c r="D83"/>
  <c r="K91"/>
  <c r="J91"/>
  <c r="I91"/>
  <c r="H91"/>
  <c r="G91"/>
  <c r="F91"/>
  <c r="E91"/>
  <c r="D91"/>
  <c r="M91"/>
  <c r="L91"/>
  <c r="E25"/>
  <c r="D25"/>
  <c r="K25"/>
  <c r="J25"/>
  <c r="I25"/>
  <c r="H25"/>
  <c r="G25"/>
  <c r="F25"/>
  <c r="M25"/>
  <c r="L25"/>
  <c r="L33"/>
  <c r="M33"/>
  <c r="Q22" i="3" l="1"/>
  <c r="M105" i="1" s="1"/>
  <c r="M9" s="1"/>
  <c r="P22" i="3"/>
  <c r="O202"/>
  <c r="N202"/>
  <c r="M202"/>
  <c r="L202"/>
  <c r="K202"/>
  <c r="J202"/>
  <c r="Q202"/>
  <c r="R202"/>
  <c r="S202"/>
  <c r="P202"/>
  <c r="I251"/>
  <c r="H251"/>
  <c r="I249"/>
  <c r="H249"/>
  <c r="I244"/>
  <c r="I243" s="1"/>
  <c r="H244"/>
  <c r="H243" s="1"/>
  <c r="I233"/>
  <c r="I232" s="1"/>
  <c r="H233"/>
  <c r="H232" s="1"/>
  <c r="I206"/>
  <c r="I205" s="1"/>
  <c r="H206"/>
  <c r="H205" s="1"/>
  <c r="I202"/>
  <c r="H202"/>
  <c r="L105" i="1" l="1"/>
  <c r="L9" s="1"/>
  <c r="I201" i="3"/>
  <c r="I199" s="1"/>
  <c r="H201"/>
  <c r="H199" s="1"/>
  <c r="Q483"/>
  <c r="P483"/>
  <c r="P459"/>
  <c r="O456"/>
  <c r="N456"/>
  <c r="M456"/>
  <c r="L456"/>
  <c r="K456"/>
  <c r="J456"/>
  <c r="I456"/>
  <c r="H456"/>
  <c r="Q460"/>
  <c r="M609" i="1" s="1"/>
  <c r="P460" i="3"/>
  <c r="Q459"/>
  <c r="P449"/>
  <c r="O442"/>
  <c r="N442"/>
  <c r="M442"/>
  <c r="L442"/>
  <c r="K442"/>
  <c r="J442"/>
  <c r="I442"/>
  <c r="H442"/>
  <c r="Q442"/>
  <c r="P442"/>
  <c r="O443"/>
  <c r="O441" s="1"/>
  <c r="N443"/>
  <c r="M443"/>
  <c r="M441" s="1"/>
  <c r="L443"/>
  <c r="K443"/>
  <c r="K441" s="1"/>
  <c r="J443"/>
  <c r="I443"/>
  <c r="I441" s="1"/>
  <c r="H443"/>
  <c r="H441" s="1"/>
  <c r="Q443"/>
  <c r="Q441" s="1"/>
  <c r="R443"/>
  <c r="R441" s="1"/>
  <c r="R440" s="1"/>
  <c r="S443"/>
  <c r="S441" s="1"/>
  <c r="S440" s="1"/>
  <c r="P443"/>
  <c r="P418"/>
  <c r="O418"/>
  <c r="N418"/>
  <c r="M418"/>
  <c r="L418"/>
  <c r="K418"/>
  <c r="J418"/>
  <c r="I418"/>
  <c r="H418"/>
  <c r="Q418"/>
  <c r="P419"/>
  <c r="O435"/>
  <c r="N435"/>
  <c r="M435"/>
  <c r="L435"/>
  <c r="K435"/>
  <c r="J435"/>
  <c r="I435"/>
  <c r="H435"/>
  <c r="Q435"/>
  <c r="R435"/>
  <c r="S435"/>
  <c r="P435"/>
  <c r="P431"/>
  <c r="O431"/>
  <c r="N431"/>
  <c r="M431"/>
  <c r="L431"/>
  <c r="K431"/>
  <c r="J431"/>
  <c r="I431"/>
  <c r="H431"/>
  <c r="Q431"/>
  <c r="R431"/>
  <c r="R413" s="1"/>
  <c r="R411" s="1"/>
  <c r="S431"/>
  <c r="S413" s="1"/>
  <c r="S411" s="1"/>
  <c r="O396"/>
  <c r="N396"/>
  <c r="M396"/>
  <c r="L396"/>
  <c r="K396"/>
  <c r="J396"/>
  <c r="I396"/>
  <c r="H396"/>
  <c r="Q396"/>
  <c r="R396"/>
  <c r="S396"/>
  <c r="P396"/>
  <c r="P397"/>
  <c r="P398"/>
  <c r="O406"/>
  <c r="N406"/>
  <c r="M406"/>
  <c r="L406"/>
  <c r="K406"/>
  <c r="J406"/>
  <c r="I406"/>
  <c r="H406"/>
  <c r="Q406"/>
  <c r="R406"/>
  <c r="S406"/>
  <c r="P406"/>
  <c r="P399"/>
  <c r="O399"/>
  <c r="N399"/>
  <c r="M399"/>
  <c r="L399"/>
  <c r="K399"/>
  <c r="J399"/>
  <c r="I399"/>
  <c r="H399"/>
  <c r="Q399"/>
  <c r="R399"/>
  <c r="S399"/>
  <c r="Q392"/>
  <c r="P392"/>
  <c r="O392"/>
  <c r="N392"/>
  <c r="M392"/>
  <c r="L392"/>
  <c r="K392"/>
  <c r="J392"/>
  <c r="I392"/>
  <c r="H392"/>
  <c r="Q386"/>
  <c r="P386"/>
  <c r="O386"/>
  <c r="N386"/>
  <c r="M386"/>
  <c r="L386"/>
  <c r="K386"/>
  <c r="J386"/>
  <c r="I386"/>
  <c r="H386"/>
  <c r="Q384"/>
  <c r="P384"/>
  <c r="O384"/>
  <c r="N384"/>
  <c r="M384"/>
  <c r="L384"/>
  <c r="K384"/>
  <c r="J384"/>
  <c r="I384"/>
  <c r="H384"/>
  <c r="Q376"/>
  <c r="P376"/>
  <c r="O376"/>
  <c r="N376"/>
  <c r="M376"/>
  <c r="L376"/>
  <c r="K376"/>
  <c r="J376"/>
  <c r="I376"/>
  <c r="H376"/>
  <c r="Q379"/>
  <c r="M444" i="1" s="1"/>
  <c r="P379" i="3"/>
  <c r="Q370"/>
  <c r="P370"/>
  <c r="O370"/>
  <c r="N370"/>
  <c r="M370"/>
  <c r="L370"/>
  <c r="K370"/>
  <c r="J370"/>
  <c r="I370"/>
  <c r="H370"/>
  <c r="H440" l="1"/>
  <c r="L444" i="1"/>
  <c r="L441" s="1"/>
  <c r="N441" i="3"/>
  <c r="P441"/>
  <c r="L441"/>
  <c r="P415"/>
  <c r="J441"/>
  <c r="M440"/>
  <c r="L650" i="1"/>
  <c r="L646" s="1"/>
  <c r="P478" i="3"/>
  <c r="M650" i="1"/>
  <c r="M646" s="1"/>
  <c r="Q478" i="3"/>
  <c r="I413"/>
  <c r="M413"/>
  <c r="Q456"/>
  <c r="M441" i="1"/>
  <c r="M396"/>
  <c r="H413" i="3"/>
  <c r="L413"/>
  <c r="P413"/>
  <c r="Q440"/>
  <c r="K440"/>
  <c r="O440"/>
  <c r="P456"/>
  <c r="L609" i="1"/>
  <c r="N440" i="3"/>
  <c r="L440"/>
  <c r="I440"/>
  <c r="J440"/>
  <c r="J413"/>
  <c r="N413"/>
  <c r="Q413"/>
  <c r="K413"/>
  <c r="O413"/>
  <c r="I358"/>
  <c r="J358"/>
  <c r="K358"/>
  <c r="L358"/>
  <c r="M358"/>
  <c r="N358"/>
  <c r="O358"/>
  <c r="P358"/>
  <c r="Q358"/>
  <c r="R358"/>
  <c r="S358"/>
  <c r="H358"/>
  <c r="O363"/>
  <c r="N363"/>
  <c r="M363"/>
  <c r="L363"/>
  <c r="K363"/>
  <c r="J363"/>
  <c r="I363"/>
  <c r="H363"/>
  <c r="R363"/>
  <c r="S363"/>
  <c r="Q363"/>
  <c r="P363"/>
  <c r="I346"/>
  <c r="J346"/>
  <c r="K346"/>
  <c r="L346"/>
  <c r="M346"/>
  <c r="N346"/>
  <c r="O346"/>
  <c r="P346"/>
  <c r="Q346"/>
  <c r="R346"/>
  <c r="S346"/>
  <c r="H346"/>
  <c r="P331"/>
  <c r="Q331"/>
  <c r="Q315"/>
  <c r="P315"/>
  <c r="Q298"/>
  <c r="M276" i="1" s="1"/>
  <c r="M268" s="1"/>
  <c r="P298" i="3"/>
  <c r="P265"/>
  <c r="O265"/>
  <c r="N265"/>
  <c r="M265"/>
  <c r="L265"/>
  <c r="K265"/>
  <c r="J265"/>
  <c r="Q265"/>
  <c r="P275"/>
  <c r="O275"/>
  <c r="O203" s="1"/>
  <c r="N275"/>
  <c r="M275"/>
  <c r="M203" s="1"/>
  <c r="L275"/>
  <c r="K275"/>
  <c r="K203" s="1"/>
  <c r="J275"/>
  <c r="Q275"/>
  <c r="Q203" s="1"/>
  <c r="R275"/>
  <c r="S275"/>
  <c r="Q263"/>
  <c r="P263"/>
  <c r="Q261"/>
  <c r="P261"/>
  <c r="P256"/>
  <c r="Q194"/>
  <c r="P194"/>
  <c r="Q191"/>
  <c r="P191"/>
  <c r="Q188"/>
  <c r="P188"/>
  <c r="P164"/>
  <c r="Q164"/>
  <c r="M138" i="1" s="1"/>
  <c r="O136" i="3"/>
  <c r="N136"/>
  <c r="M136"/>
  <c r="L136"/>
  <c r="K136"/>
  <c r="J136"/>
  <c r="Q137"/>
  <c r="P137"/>
  <c r="L396" i="1" l="1"/>
  <c r="L393" s="1"/>
  <c r="L138"/>
  <c r="J203" i="3"/>
  <c r="N203"/>
  <c r="S203"/>
  <c r="S264"/>
  <c r="P455"/>
  <c r="P296"/>
  <c r="R203"/>
  <c r="R264"/>
  <c r="L203"/>
  <c r="P203"/>
  <c r="Q296"/>
  <c r="P440"/>
  <c r="L276" i="1"/>
  <c r="L268" s="1"/>
  <c r="P264" i="3"/>
  <c r="P294"/>
  <c r="L147" i="1"/>
  <c r="L212"/>
  <c r="L154" s="1"/>
  <c r="L151" s="1"/>
  <c r="Q294" i="3"/>
  <c r="Q136"/>
  <c r="M130" i="1"/>
  <c r="M147"/>
  <c r="M212"/>
  <c r="P136" i="3"/>
  <c r="L130" i="1"/>
  <c r="P260" i="3"/>
  <c r="Q264"/>
  <c r="M264"/>
  <c r="J264"/>
  <c r="N264"/>
  <c r="L264"/>
  <c r="K264"/>
  <c r="O264"/>
  <c r="P255"/>
  <c r="P183"/>
  <c r="P135" l="1"/>
  <c r="P259"/>
  <c r="P201" s="1"/>
  <c r="P454"/>
  <c r="L209" i="1"/>
  <c r="M209"/>
  <c r="M154"/>
  <c r="M151" s="1"/>
  <c r="P199" i="3" l="1"/>
  <c r="Q116"/>
  <c r="M122" i="1" s="1"/>
  <c r="P116" i="3"/>
  <c r="P115" l="1"/>
  <c r="L122" i="1"/>
  <c r="P94" i="3"/>
  <c r="Q103"/>
  <c r="P103"/>
  <c r="O102"/>
  <c r="O101" s="1"/>
  <c r="N102"/>
  <c r="M102"/>
  <c r="M101" s="1"/>
  <c r="L102"/>
  <c r="K102"/>
  <c r="K101" s="1"/>
  <c r="J102"/>
  <c r="I102"/>
  <c r="I101" s="1"/>
  <c r="H102"/>
  <c r="H101" s="1"/>
  <c r="S110"/>
  <c r="S109" s="1"/>
  <c r="R110"/>
  <c r="R109" s="1"/>
  <c r="Q110"/>
  <c r="Q109" s="1"/>
  <c r="P110"/>
  <c r="O110"/>
  <c r="O109" s="1"/>
  <c r="N110"/>
  <c r="M110"/>
  <c r="M109" s="1"/>
  <c r="L110"/>
  <c r="K110"/>
  <c r="K109" s="1"/>
  <c r="J110"/>
  <c r="I110"/>
  <c r="I109" s="1"/>
  <c r="H110"/>
  <c r="H109" s="1"/>
  <c r="Q97"/>
  <c r="P97"/>
  <c r="Q95"/>
  <c r="P95"/>
  <c r="Q94"/>
  <c r="Q89"/>
  <c r="P89"/>
  <c r="I77"/>
  <c r="I76" s="1"/>
  <c r="J77"/>
  <c r="K77"/>
  <c r="K76" s="1"/>
  <c r="L77"/>
  <c r="M77"/>
  <c r="M76" s="1"/>
  <c r="N77"/>
  <c r="O77"/>
  <c r="O76" s="1"/>
  <c r="P77"/>
  <c r="Q77"/>
  <c r="Q76" s="1"/>
  <c r="H77"/>
  <c r="H76" s="1"/>
  <c r="Q83"/>
  <c r="P83"/>
  <c r="Q75"/>
  <c r="P75"/>
  <c r="Q74"/>
  <c r="P74"/>
  <c r="O13"/>
  <c r="N13"/>
  <c r="M13"/>
  <c r="L13"/>
  <c r="K13"/>
  <c r="Q57"/>
  <c r="P57"/>
  <c r="Q58"/>
  <c r="P58"/>
  <c r="Q41"/>
  <c r="P41"/>
  <c r="Q40"/>
  <c r="P40"/>
  <c r="Q33"/>
  <c r="P33"/>
  <c r="Q32"/>
  <c r="P32"/>
  <c r="Q28"/>
  <c r="P28"/>
  <c r="Q16"/>
  <c r="P16"/>
  <c r="Q15"/>
  <c r="P15"/>
  <c r="Q14"/>
  <c r="P14"/>
  <c r="J101" l="1"/>
  <c r="N101"/>
  <c r="P109"/>
  <c r="L101"/>
  <c r="P114"/>
  <c r="J109"/>
  <c r="N109"/>
  <c r="N76"/>
  <c r="J76"/>
  <c r="L109"/>
  <c r="P76"/>
  <c r="L76"/>
  <c r="L107" i="1"/>
  <c r="M18"/>
  <c r="M107"/>
  <c r="Q102" i="3"/>
  <c r="Q101" s="1"/>
  <c r="M83" i="1"/>
  <c r="L67"/>
  <c r="L106"/>
  <c r="M106"/>
  <c r="L18"/>
  <c r="P102" i="3"/>
  <c r="L83" i="1"/>
  <c r="P93" i="3"/>
  <c r="Q13"/>
  <c r="P13"/>
  <c r="J115"/>
  <c r="I491"/>
  <c r="H491"/>
  <c r="I489"/>
  <c r="E625" i="1" s="1"/>
  <c r="E617" s="1"/>
  <c r="H489" i="3"/>
  <c r="D625" i="1" s="1"/>
  <c r="D617" s="1"/>
  <c r="I485" i="3"/>
  <c r="H485"/>
  <c r="I473"/>
  <c r="H473"/>
  <c r="I455"/>
  <c r="I454" s="1"/>
  <c r="H455"/>
  <c r="H454" s="1"/>
  <c r="I449"/>
  <c r="H449"/>
  <c r="I420"/>
  <c r="I414" s="1"/>
  <c r="H420"/>
  <c r="H414" s="1"/>
  <c r="I419"/>
  <c r="I415" s="1"/>
  <c r="H419"/>
  <c r="H415" s="1"/>
  <c r="I404"/>
  <c r="H404"/>
  <c r="I398"/>
  <c r="H398"/>
  <c r="I397"/>
  <c r="H397"/>
  <c r="I390"/>
  <c r="H390"/>
  <c r="I388"/>
  <c r="H388"/>
  <c r="I382"/>
  <c r="H382"/>
  <c r="I381"/>
  <c r="H380"/>
  <c r="I378"/>
  <c r="H378"/>
  <c r="I374"/>
  <c r="H374"/>
  <c r="I372"/>
  <c r="H372"/>
  <c r="I368"/>
  <c r="H368"/>
  <c r="I361"/>
  <c r="H361"/>
  <c r="I360"/>
  <c r="H359"/>
  <c r="I353"/>
  <c r="H353"/>
  <c r="I351"/>
  <c r="H351"/>
  <c r="I348"/>
  <c r="H348"/>
  <c r="I343"/>
  <c r="H343"/>
  <c r="I341"/>
  <c r="H341"/>
  <c r="I340"/>
  <c r="H340"/>
  <c r="I338"/>
  <c r="I337" s="1"/>
  <c r="H338"/>
  <c r="H337" s="1"/>
  <c r="I323"/>
  <c r="I322" s="1"/>
  <c r="H323"/>
  <c r="H322" s="1"/>
  <c r="I298"/>
  <c r="I296" s="1"/>
  <c r="H298"/>
  <c r="H296" s="1"/>
  <c r="I287"/>
  <c r="H287"/>
  <c r="I285"/>
  <c r="H285"/>
  <c r="I283"/>
  <c r="H283"/>
  <c r="H188"/>
  <c r="I183"/>
  <c r="I182" s="1"/>
  <c r="I166"/>
  <c r="H166"/>
  <c r="I164"/>
  <c r="H164"/>
  <c r="I139"/>
  <c r="H139"/>
  <c r="I137"/>
  <c r="H137"/>
  <c r="I116"/>
  <c r="H116"/>
  <c r="J106"/>
  <c r="J79"/>
  <c r="K79"/>
  <c r="L79"/>
  <c r="M79"/>
  <c r="N79"/>
  <c r="O79"/>
  <c r="P79"/>
  <c r="Q79"/>
  <c r="R79"/>
  <c r="S79"/>
  <c r="I106"/>
  <c r="I105" s="1"/>
  <c r="H106"/>
  <c r="H105" s="1"/>
  <c r="I99"/>
  <c r="I98" s="1"/>
  <c r="H99"/>
  <c r="H98" s="1"/>
  <c r="I97"/>
  <c r="H97"/>
  <c r="I96"/>
  <c r="H96"/>
  <c r="I95"/>
  <c r="H95"/>
  <c r="I94"/>
  <c r="H94"/>
  <c r="H73"/>
  <c r="I29"/>
  <c r="H29"/>
  <c r="I28"/>
  <c r="H28"/>
  <c r="I19"/>
  <c r="H19"/>
  <c r="H16"/>
  <c r="I15"/>
  <c r="H15"/>
  <c r="I14"/>
  <c r="H14"/>
  <c r="I293" l="1"/>
  <c r="I291" s="1"/>
  <c r="H293"/>
  <c r="J105"/>
  <c r="P101"/>
  <c r="L103" i="1"/>
  <c r="I339" i="3"/>
  <c r="I336" s="1"/>
  <c r="I335" s="1"/>
  <c r="E308" i="1"/>
  <c r="I359" i="3"/>
  <c r="I357" s="1"/>
  <c r="I355" s="1"/>
  <c r="E373" i="1"/>
  <c r="E365" s="1"/>
  <c r="I380" i="3"/>
  <c r="I367" s="1"/>
  <c r="I365" s="1"/>
  <c r="E452" i="1"/>
  <c r="E396" s="1"/>
  <c r="E130"/>
  <c r="E138"/>
  <c r="I472" i="3"/>
  <c r="I471" s="1"/>
  <c r="H339"/>
  <c r="H336" s="1"/>
  <c r="H335" s="1"/>
  <c r="D308" i="1"/>
  <c r="H367" i="3"/>
  <c r="H365" s="1"/>
  <c r="H183"/>
  <c r="H182" s="1"/>
  <c r="D147" i="1"/>
  <c r="E276"/>
  <c r="E268" s="1"/>
  <c r="H115" i="3"/>
  <c r="H114" s="1"/>
  <c r="D122" i="1"/>
  <c r="D106"/>
  <c r="I115" i="3"/>
  <c r="I114" s="1"/>
  <c r="E122" i="1"/>
  <c r="E106"/>
  <c r="D130"/>
  <c r="D138"/>
  <c r="H291" i="3"/>
  <c r="D276" i="1"/>
  <c r="D268" s="1"/>
  <c r="H472" i="3"/>
  <c r="H471" s="1"/>
  <c r="H357"/>
  <c r="H355" s="1"/>
  <c r="I282"/>
  <c r="I280" s="1"/>
  <c r="H136"/>
  <c r="H135" s="1"/>
  <c r="H163"/>
  <c r="H162" s="1"/>
  <c r="I136"/>
  <c r="I135" s="1"/>
  <c r="I163"/>
  <c r="I162" s="1"/>
  <c r="I416"/>
  <c r="H411"/>
  <c r="H93"/>
  <c r="H92" s="1"/>
  <c r="H394"/>
  <c r="H13"/>
  <c r="I13"/>
  <c r="I93"/>
  <c r="I92" s="1"/>
  <c r="I411"/>
  <c r="H416"/>
  <c r="H282"/>
  <c r="H280" s="1"/>
  <c r="I394"/>
  <c r="I113" l="1"/>
  <c r="I112" s="1"/>
  <c r="H113"/>
  <c r="H112" s="1"/>
  <c r="I12" l="1"/>
  <c r="H12"/>
  <c r="I88"/>
  <c r="I87" s="1"/>
  <c r="H88"/>
  <c r="H87" s="1"/>
  <c r="I85"/>
  <c r="H85"/>
  <c r="I82"/>
  <c r="I81" s="1"/>
  <c r="H82"/>
  <c r="H81" s="1"/>
  <c r="I79"/>
  <c r="H79"/>
  <c r="I73"/>
  <c r="I72" s="1"/>
  <c r="H72"/>
  <c r="E630" i="1"/>
  <c r="D630"/>
  <c r="E622"/>
  <c r="D622"/>
  <c r="E601"/>
  <c r="D601"/>
  <c r="E608"/>
  <c r="E600" s="1"/>
  <c r="D608"/>
  <c r="D600" s="1"/>
  <c r="E607"/>
  <c r="E599" s="1"/>
  <c r="D607"/>
  <c r="E589"/>
  <c r="D589"/>
  <c r="E565"/>
  <c r="D565"/>
  <c r="E549"/>
  <c r="D549"/>
  <c r="E537"/>
  <c r="D537"/>
  <c r="E529"/>
  <c r="D529"/>
  <c r="E520"/>
  <c r="E510" s="1"/>
  <c r="D520"/>
  <c r="D510" s="1"/>
  <c r="E519"/>
  <c r="D519"/>
  <c r="D509" s="1"/>
  <c r="E489"/>
  <c r="D489"/>
  <c r="E465"/>
  <c r="D465"/>
  <c r="E457"/>
  <c r="D457"/>
  <c r="E449"/>
  <c r="D449"/>
  <c r="E425"/>
  <c r="D425"/>
  <c r="E417"/>
  <c r="D417"/>
  <c r="E401"/>
  <c r="D401"/>
  <c r="E377"/>
  <c r="D377"/>
  <c r="E369"/>
  <c r="D369"/>
  <c r="E353"/>
  <c r="D353"/>
  <c r="E345"/>
  <c r="D345"/>
  <c r="E337"/>
  <c r="E321"/>
  <c r="D321"/>
  <c r="E313"/>
  <c r="D313"/>
  <c r="E305"/>
  <c r="D305"/>
  <c r="E300"/>
  <c r="D300"/>
  <c r="E270"/>
  <c r="D270"/>
  <c r="E253"/>
  <c r="E249" s="1"/>
  <c r="D253"/>
  <c r="D249" s="1"/>
  <c r="E244"/>
  <c r="E241" s="1"/>
  <c r="D244"/>
  <c r="D241" s="1"/>
  <c r="E235"/>
  <c r="E233" s="1"/>
  <c r="D235"/>
  <c r="D233" s="1"/>
  <c r="E192"/>
  <c r="D192"/>
  <c r="E184"/>
  <c r="E176"/>
  <c r="E168"/>
  <c r="E160"/>
  <c r="E143"/>
  <c r="D143"/>
  <c r="E135"/>
  <c r="D135"/>
  <c r="E116"/>
  <c r="D116"/>
  <c r="D113"/>
  <c r="E114"/>
  <c r="D114"/>
  <c r="E119"/>
  <c r="D119"/>
  <c r="E115"/>
  <c r="D115"/>
  <c r="E75"/>
  <c r="D75"/>
  <c r="E67"/>
  <c r="D67"/>
  <c r="E59"/>
  <c r="D59"/>
  <c r="E50"/>
  <c r="D50"/>
  <c r="E42"/>
  <c r="D42"/>
  <c r="E33"/>
  <c r="E9" s="1"/>
  <c r="D33"/>
  <c r="D9" s="1"/>
  <c r="E18"/>
  <c r="D18"/>
  <c r="D525" l="1"/>
  <c r="D511"/>
  <c r="D505" s="1"/>
  <c r="E525"/>
  <c r="E511"/>
  <c r="D297"/>
  <c r="D292"/>
  <c r="E297"/>
  <c r="E292"/>
  <c r="E10"/>
  <c r="E11"/>
  <c r="D10"/>
  <c r="D11"/>
  <c r="H11" i="3"/>
  <c r="H10" s="1"/>
  <c r="I11"/>
  <c r="I10" s="1"/>
  <c r="I495" s="1"/>
  <c r="D229" i="1"/>
  <c r="E515"/>
  <c r="E557"/>
  <c r="D605"/>
  <c r="E227"/>
  <c r="D269"/>
  <c r="D281"/>
  <c r="E273"/>
  <c r="E269"/>
  <c r="D337"/>
  <c r="D127"/>
  <c r="D227"/>
  <c r="E533"/>
  <c r="D557"/>
  <c r="D581"/>
  <c r="E127"/>
  <c r="E229"/>
  <c r="E281"/>
  <c r="D273"/>
  <c r="D533"/>
  <c r="E581"/>
  <c r="E597"/>
  <c r="E113"/>
  <c r="E111" s="1"/>
  <c r="D228"/>
  <c r="E361"/>
  <c r="E509"/>
  <c r="E573"/>
  <c r="E605"/>
  <c r="E638"/>
  <c r="E228"/>
  <c r="D515"/>
  <c r="D599"/>
  <c r="D597" s="1"/>
  <c r="D655"/>
  <c r="D361"/>
  <c r="E655"/>
  <c r="D638"/>
  <c r="D111"/>
  <c r="E103"/>
  <c r="D103"/>
  <c r="O537"/>
  <c r="O533" s="1"/>
  <c r="N537"/>
  <c r="N533" s="1"/>
  <c r="O529"/>
  <c r="N529"/>
  <c r="N9"/>
  <c r="N7" s="1"/>
  <c r="O9"/>
  <c r="R82" i="3"/>
  <c r="R81" s="1"/>
  <c r="S82"/>
  <c r="S81" s="1"/>
  <c r="R85"/>
  <c r="S85"/>
  <c r="R99"/>
  <c r="R98" s="1"/>
  <c r="S99"/>
  <c r="S98" s="1"/>
  <c r="R88"/>
  <c r="R87" s="1"/>
  <c r="S88"/>
  <c r="S87" s="1"/>
  <c r="R93"/>
  <c r="R92" s="1"/>
  <c r="S93"/>
  <c r="S92" s="1"/>
  <c r="R449"/>
  <c r="S449"/>
  <c r="R323"/>
  <c r="S323"/>
  <c r="R388"/>
  <c r="S388"/>
  <c r="R380"/>
  <c r="S380"/>
  <c r="R378"/>
  <c r="S378"/>
  <c r="R390"/>
  <c r="S390"/>
  <c r="R382"/>
  <c r="S382"/>
  <c r="R404"/>
  <c r="R394" s="1"/>
  <c r="S404"/>
  <c r="S394" s="1"/>
  <c r="R397"/>
  <c r="S397"/>
  <c r="R398"/>
  <c r="S398"/>
  <c r="R359"/>
  <c r="S359"/>
  <c r="R361"/>
  <c r="S361"/>
  <c r="R183"/>
  <c r="R182" s="1"/>
  <c r="S183"/>
  <c r="S182" s="1"/>
  <c r="R162"/>
  <c r="S162"/>
  <c r="S136"/>
  <c r="S135" s="1"/>
  <c r="R136"/>
  <c r="R135" s="1"/>
  <c r="R115"/>
  <c r="R114" s="1"/>
  <c r="S115"/>
  <c r="S114" s="1"/>
  <c r="R256"/>
  <c r="S256"/>
  <c r="R259"/>
  <c r="S259"/>
  <c r="R322" l="1"/>
  <c r="R293"/>
  <c r="R291" s="1"/>
  <c r="S367"/>
  <c r="S365" s="1"/>
  <c r="R367"/>
  <c r="R365" s="1"/>
  <c r="S322"/>
  <c r="S293"/>
  <c r="N511" i="1"/>
  <c r="N505" s="1"/>
  <c r="O525"/>
  <c r="O511"/>
  <c r="O505" s="1"/>
  <c r="H495" i="3"/>
  <c r="D265" i="1"/>
  <c r="O10"/>
  <c r="O11"/>
  <c r="S291" i="3"/>
  <c r="S255"/>
  <c r="S201" s="1"/>
  <c r="S199" s="1"/>
  <c r="R255"/>
  <c r="R201" s="1"/>
  <c r="R199" s="1"/>
  <c r="R357"/>
  <c r="R355" s="1"/>
  <c r="S357"/>
  <c r="S355" s="1"/>
  <c r="E265" i="1"/>
  <c r="D225"/>
  <c r="D613"/>
  <c r="E613"/>
  <c r="D289"/>
  <c r="E225"/>
  <c r="E505"/>
  <c r="D541"/>
  <c r="E541"/>
  <c r="D7"/>
  <c r="E289"/>
  <c r="E393"/>
  <c r="D151"/>
  <c r="E7"/>
  <c r="N525"/>
  <c r="R11" i="3"/>
  <c r="R10" s="1"/>
  <c r="S11"/>
  <c r="S10" s="1"/>
  <c r="S113"/>
  <c r="S112" s="1"/>
  <c r="R113"/>
  <c r="R112" s="1"/>
  <c r="R473"/>
  <c r="R472" s="1"/>
  <c r="R471" s="1"/>
  <c r="S473"/>
  <c r="R348"/>
  <c r="S348"/>
  <c r="R343"/>
  <c r="S343"/>
  <c r="R337"/>
  <c r="S337"/>
  <c r="N549" i="1"/>
  <c r="R416" i="3"/>
  <c r="S416"/>
  <c r="R455"/>
  <c r="R454" s="1"/>
  <c r="S455"/>
  <c r="S454" s="1"/>
  <c r="O7" i="1" l="1"/>
  <c r="D665"/>
  <c r="S336" i="3"/>
  <c r="S335" s="1"/>
  <c r="R336"/>
  <c r="R335" s="1"/>
  <c r="S472"/>
  <c r="S471" s="1"/>
  <c r="O549" i="1"/>
  <c r="E665"/>
  <c r="O665" l="1"/>
  <c r="N665"/>
  <c r="K630"/>
  <c r="I630"/>
  <c r="H630"/>
  <c r="G630"/>
  <c r="F630"/>
  <c r="K601"/>
  <c r="J601"/>
  <c r="I601"/>
  <c r="H601"/>
  <c r="G601"/>
  <c r="F601"/>
  <c r="K608"/>
  <c r="K600" s="1"/>
  <c r="J608"/>
  <c r="J600" s="1"/>
  <c r="I608"/>
  <c r="I600" s="1"/>
  <c r="H608"/>
  <c r="H600" s="1"/>
  <c r="G608"/>
  <c r="F608"/>
  <c r="F600" s="1"/>
  <c r="K607"/>
  <c r="K599" s="1"/>
  <c r="J607"/>
  <c r="I607"/>
  <c r="I599" s="1"/>
  <c r="H607"/>
  <c r="H599" s="1"/>
  <c r="G607"/>
  <c r="G599" s="1"/>
  <c r="F607"/>
  <c r="K589"/>
  <c r="J589"/>
  <c r="I589"/>
  <c r="H589"/>
  <c r="F589"/>
  <c r="K565"/>
  <c r="J565"/>
  <c r="I565"/>
  <c r="H565"/>
  <c r="F565"/>
  <c r="K549"/>
  <c r="J549"/>
  <c r="I549"/>
  <c r="H549"/>
  <c r="G549"/>
  <c r="F549"/>
  <c r="K537"/>
  <c r="J537"/>
  <c r="I537"/>
  <c r="H537"/>
  <c r="G537"/>
  <c r="F537"/>
  <c r="K529"/>
  <c r="J529"/>
  <c r="I529"/>
  <c r="H529"/>
  <c r="G529"/>
  <c r="F529"/>
  <c r="K520"/>
  <c r="K510" s="1"/>
  <c r="J520"/>
  <c r="J510" s="1"/>
  <c r="I520"/>
  <c r="I510" s="1"/>
  <c r="H520"/>
  <c r="H510" s="1"/>
  <c r="G520"/>
  <c r="G510" s="1"/>
  <c r="F520"/>
  <c r="F510" s="1"/>
  <c r="K519"/>
  <c r="K509" s="1"/>
  <c r="J519"/>
  <c r="J509" s="1"/>
  <c r="I519"/>
  <c r="I509" s="1"/>
  <c r="H519"/>
  <c r="H509" s="1"/>
  <c r="G519"/>
  <c r="G509" s="1"/>
  <c r="F519"/>
  <c r="F509" s="1"/>
  <c r="K489"/>
  <c r="J489"/>
  <c r="I489"/>
  <c r="H489"/>
  <c r="G489"/>
  <c r="F489"/>
  <c r="K465"/>
  <c r="J465"/>
  <c r="I465"/>
  <c r="H465"/>
  <c r="G465"/>
  <c r="F465"/>
  <c r="K457"/>
  <c r="I457"/>
  <c r="H457"/>
  <c r="G457"/>
  <c r="F457"/>
  <c r="K449"/>
  <c r="J449"/>
  <c r="I449"/>
  <c r="H449"/>
  <c r="G449"/>
  <c r="F449"/>
  <c r="K425"/>
  <c r="J425"/>
  <c r="I425"/>
  <c r="H425"/>
  <c r="G425"/>
  <c r="F425"/>
  <c r="K417"/>
  <c r="J417"/>
  <c r="I417"/>
  <c r="G417"/>
  <c r="F417"/>
  <c r="J401"/>
  <c r="I401"/>
  <c r="H401"/>
  <c r="G401"/>
  <c r="F401"/>
  <c r="K377"/>
  <c r="J377"/>
  <c r="I377"/>
  <c r="H377"/>
  <c r="G377"/>
  <c r="F377"/>
  <c r="K369"/>
  <c r="J369"/>
  <c r="I369"/>
  <c r="H369"/>
  <c r="G369"/>
  <c r="F369"/>
  <c r="K353"/>
  <c r="J353"/>
  <c r="I353"/>
  <c r="H353"/>
  <c r="G353"/>
  <c r="F353"/>
  <c r="K345"/>
  <c r="J345"/>
  <c r="I345"/>
  <c r="H345"/>
  <c r="G345"/>
  <c r="F345"/>
  <c r="K337"/>
  <c r="J337"/>
  <c r="I337"/>
  <c r="H337"/>
  <c r="G337"/>
  <c r="F337"/>
  <c r="K321"/>
  <c r="J321"/>
  <c r="I321"/>
  <c r="H321"/>
  <c r="G321"/>
  <c r="K313"/>
  <c r="J313"/>
  <c r="I313"/>
  <c r="H313"/>
  <c r="G313"/>
  <c r="F313"/>
  <c r="K305"/>
  <c r="J305"/>
  <c r="I305"/>
  <c r="H305"/>
  <c r="G305"/>
  <c r="F305"/>
  <c r="K300"/>
  <c r="J300"/>
  <c r="I300"/>
  <c r="H300"/>
  <c r="G300"/>
  <c r="F300"/>
  <c r="F292" s="1"/>
  <c r="F270"/>
  <c r="K253"/>
  <c r="K229" s="1"/>
  <c r="J253"/>
  <c r="J249" s="1"/>
  <c r="I253"/>
  <c r="I249" s="1"/>
  <c r="H253"/>
  <c r="H249" s="1"/>
  <c r="G253"/>
  <c r="G249" s="1"/>
  <c r="F253"/>
  <c r="F229" s="1"/>
  <c r="K244"/>
  <c r="K241" s="1"/>
  <c r="J244"/>
  <c r="J228" s="1"/>
  <c r="I244"/>
  <c r="I241" s="1"/>
  <c r="H244"/>
  <c r="H241" s="1"/>
  <c r="G244"/>
  <c r="G228" s="1"/>
  <c r="F244"/>
  <c r="F241" s="1"/>
  <c r="K235"/>
  <c r="K227" s="1"/>
  <c r="J235"/>
  <c r="J233" s="1"/>
  <c r="I235"/>
  <c r="I233" s="1"/>
  <c r="H235"/>
  <c r="H233" s="1"/>
  <c r="G235"/>
  <c r="G233" s="1"/>
  <c r="F235"/>
  <c r="F233" s="1"/>
  <c r="K116"/>
  <c r="J116"/>
  <c r="I116"/>
  <c r="H116"/>
  <c r="G116"/>
  <c r="F116"/>
  <c r="K75"/>
  <c r="J75"/>
  <c r="I75"/>
  <c r="H75"/>
  <c r="G75"/>
  <c r="F75"/>
  <c r="K67"/>
  <c r="J67"/>
  <c r="I67"/>
  <c r="H67"/>
  <c r="G67"/>
  <c r="F67"/>
  <c r="K59"/>
  <c r="J59"/>
  <c r="I59"/>
  <c r="H59"/>
  <c r="G59"/>
  <c r="F59"/>
  <c r="K50"/>
  <c r="J50"/>
  <c r="I50"/>
  <c r="H50"/>
  <c r="G50"/>
  <c r="F50"/>
  <c r="K42"/>
  <c r="J42"/>
  <c r="I42"/>
  <c r="H42"/>
  <c r="G42"/>
  <c r="F42"/>
  <c r="L42"/>
  <c r="K33"/>
  <c r="K9" s="1"/>
  <c r="J33"/>
  <c r="J9" s="1"/>
  <c r="I33"/>
  <c r="I9" s="1"/>
  <c r="H33"/>
  <c r="H9" s="1"/>
  <c r="G33"/>
  <c r="G9" s="1"/>
  <c r="F33"/>
  <c r="F9" s="1"/>
  <c r="K18"/>
  <c r="J18"/>
  <c r="I18"/>
  <c r="H18"/>
  <c r="G18"/>
  <c r="F18"/>
  <c r="O491" i="3"/>
  <c r="N491"/>
  <c r="M491"/>
  <c r="L491"/>
  <c r="K491"/>
  <c r="J491"/>
  <c r="O489"/>
  <c r="K625" i="1" s="1"/>
  <c r="K617" s="1"/>
  <c r="N489" i="3"/>
  <c r="M489"/>
  <c r="I625" i="1" s="1"/>
  <c r="L489" i="3"/>
  <c r="K489"/>
  <c r="G625" i="1" s="1"/>
  <c r="J489" i="3"/>
  <c r="O485"/>
  <c r="N485"/>
  <c r="M485"/>
  <c r="L485"/>
  <c r="K485"/>
  <c r="J485"/>
  <c r="O473"/>
  <c r="N473"/>
  <c r="M473"/>
  <c r="L473"/>
  <c r="K473"/>
  <c r="J473"/>
  <c r="O455"/>
  <c r="O454" s="1"/>
  <c r="N455"/>
  <c r="M455"/>
  <c r="M454" s="1"/>
  <c r="L455"/>
  <c r="K455"/>
  <c r="K454" s="1"/>
  <c r="J455"/>
  <c r="O449"/>
  <c r="N449"/>
  <c r="M449"/>
  <c r="K449"/>
  <c r="J449"/>
  <c r="O420"/>
  <c r="O414" s="1"/>
  <c r="N420"/>
  <c r="M420"/>
  <c r="M414" s="1"/>
  <c r="L420"/>
  <c r="K420"/>
  <c r="K414" s="1"/>
  <c r="J420"/>
  <c r="O419"/>
  <c r="O415" s="1"/>
  <c r="N419"/>
  <c r="M419"/>
  <c r="M415" s="1"/>
  <c r="L419"/>
  <c r="K419"/>
  <c r="K415" s="1"/>
  <c r="J419"/>
  <c r="O404"/>
  <c r="N404"/>
  <c r="M404"/>
  <c r="L404"/>
  <c r="K404"/>
  <c r="J404"/>
  <c r="O398"/>
  <c r="N398"/>
  <c r="M398"/>
  <c r="L398"/>
  <c r="K398"/>
  <c r="J398"/>
  <c r="O397"/>
  <c r="N397"/>
  <c r="M397"/>
  <c r="L397"/>
  <c r="K397"/>
  <c r="J397"/>
  <c r="O390"/>
  <c r="N390"/>
  <c r="M390"/>
  <c r="L390"/>
  <c r="K390"/>
  <c r="J390"/>
  <c r="O388"/>
  <c r="N388"/>
  <c r="M388"/>
  <c r="L388"/>
  <c r="K388"/>
  <c r="J388"/>
  <c r="O382"/>
  <c r="N382"/>
  <c r="M382"/>
  <c r="L382"/>
  <c r="K382"/>
  <c r="J382"/>
  <c r="O380"/>
  <c r="N380"/>
  <c r="M380"/>
  <c r="L380"/>
  <c r="K380"/>
  <c r="J380"/>
  <c r="O378"/>
  <c r="N378"/>
  <c r="M378"/>
  <c r="L378"/>
  <c r="K378"/>
  <c r="J378"/>
  <c r="O374"/>
  <c r="N374"/>
  <c r="M374"/>
  <c r="L374"/>
  <c r="K374"/>
  <c r="J374"/>
  <c r="O372"/>
  <c r="N372"/>
  <c r="M372"/>
  <c r="L372"/>
  <c r="K372"/>
  <c r="J372"/>
  <c r="O368"/>
  <c r="N368"/>
  <c r="M368"/>
  <c r="L368"/>
  <c r="K368"/>
  <c r="J368"/>
  <c r="O361"/>
  <c r="N361"/>
  <c r="M361"/>
  <c r="L361"/>
  <c r="K361"/>
  <c r="J361"/>
  <c r="O359"/>
  <c r="N359"/>
  <c r="M359"/>
  <c r="L359"/>
  <c r="K359"/>
  <c r="J359"/>
  <c r="O351"/>
  <c r="N351"/>
  <c r="M351"/>
  <c r="L351"/>
  <c r="K351"/>
  <c r="J351"/>
  <c r="O348"/>
  <c r="N348"/>
  <c r="M348"/>
  <c r="L348"/>
  <c r="K348"/>
  <c r="J348"/>
  <c r="O343"/>
  <c r="N343"/>
  <c r="M343"/>
  <c r="L343"/>
  <c r="K343"/>
  <c r="J343"/>
  <c r="O341"/>
  <c r="N341"/>
  <c r="M341"/>
  <c r="L341"/>
  <c r="K341"/>
  <c r="J341"/>
  <c r="O339"/>
  <c r="N339"/>
  <c r="M339"/>
  <c r="L339"/>
  <c r="K339"/>
  <c r="J339"/>
  <c r="O337"/>
  <c r="N337"/>
  <c r="M337"/>
  <c r="L337"/>
  <c r="K337"/>
  <c r="J337"/>
  <c r="O323"/>
  <c r="O293" s="1"/>
  <c r="N323"/>
  <c r="M323"/>
  <c r="M293" s="1"/>
  <c r="M291" s="1"/>
  <c r="L323"/>
  <c r="K323"/>
  <c r="K293" s="1"/>
  <c r="J323"/>
  <c r="O287"/>
  <c r="N287"/>
  <c r="M287"/>
  <c r="L287"/>
  <c r="K287"/>
  <c r="J287"/>
  <c r="O285"/>
  <c r="N285"/>
  <c r="M285"/>
  <c r="L285"/>
  <c r="K285"/>
  <c r="J285"/>
  <c r="J293" l="1"/>
  <c r="N293"/>
  <c r="J415"/>
  <c r="N415"/>
  <c r="L414"/>
  <c r="H625" i="1"/>
  <c r="H617" s="1"/>
  <c r="L293" i="3"/>
  <c r="L415"/>
  <c r="L411" s="1"/>
  <c r="J414"/>
  <c r="N414"/>
  <c r="N411" s="1"/>
  <c r="F625" i="1"/>
  <c r="F622" s="1"/>
  <c r="J625"/>
  <c r="J617" s="1"/>
  <c r="N454" i="3"/>
  <c r="J454"/>
  <c r="L454"/>
  <c r="G622" i="1"/>
  <c r="G617"/>
  <c r="K622"/>
  <c r="I622"/>
  <c r="I617"/>
  <c r="G525"/>
  <c r="G511"/>
  <c r="G505" s="1"/>
  <c r="K525"/>
  <c r="K511"/>
  <c r="K505" s="1"/>
  <c r="H525"/>
  <c r="H511"/>
  <c r="I525"/>
  <c r="I511"/>
  <c r="I505" s="1"/>
  <c r="F525"/>
  <c r="F511"/>
  <c r="F505" s="1"/>
  <c r="J525"/>
  <c r="J511"/>
  <c r="J505" s="1"/>
  <c r="I297"/>
  <c r="I292"/>
  <c r="J297"/>
  <c r="J292"/>
  <c r="G297"/>
  <c r="G292"/>
  <c r="K297"/>
  <c r="K292"/>
  <c r="H297"/>
  <c r="H292"/>
  <c r="J322" i="3"/>
  <c r="N322"/>
  <c r="N291"/>
  <c r="K322"/>
  <c r="K291"/>
  <c r="O322"/>
  <c r="O291"/>
  <c r="L322"/>
  <c r="J336"/>
  <c r="N336"/>
  <c r="L367"/>
  <c r="L472"/>
  <c r="M322"/>
  <c r="K336"/>
  <c r="K335" s="1"/>
  <c r="O336"/>
  <c r="O335" s="1"/>
  <c r="M367"/>
  <c r="M365" s="1"/>
  <c r="M472"/>
  <c r="M471" s="1"/>
  <c r="I10" i="1"/>
  <c r="G10"/>
  <c r="K10"/>
  <c r="G11"/>
  <c r="K11"/>
  <c r="F10"/>
  <c r="J10"/>
  <c r="I11"/>
  <c r="F11"/>
  <c r="J11"/>
  <c r="H11"/>
  <c r="H10"/>
  <c r="J472" i="3"/>
  <c r="N472"/>
  <c r="K472"/>
  <c r="K471" s="1"/>
  <c r="O472"/>
  <c r="O471" s="1"/>
  <c r="L336"/>
  <c r="L335" s="1"/>
  <c r="J367"/>
  <c r="N367"/>
  <c r="M336"/>
  <c r="K367"/>
  <c r="K365" s="1"/>
  <c r="O367"/>
  <c r="O365" s="1"/>
  <c r="N394"/>
  <c r="J357"/>
  <c r="N357"/>
  <c r="I515" i="1"/>
  <c r="I533"/>
  <c r="K411" i="3"/>
  <c r="J416"/>
  <c r="K416"/>
  <c r="J394"/>
  <c r="L394"/>
  <c r="K357"/>
  <c r="K355" s="1"/>
  <c r="H227" i="1"/>
  <c r="H229"/>
  <c r="G655"/>
  <c r="H119"/>
  <c r="F119"/>
  <c r="J119"/>
  <c r="F115"/>
  <c r="I281"/>
  <c r="H581"/>
  <c r="F228"/>
  <c r="H281"/>
  <c r="J135"/>
  <c r="G229"/>
  <c r="J241"/>
  <c r="F605"/>
  <c r="J605"/>
  <c r="J227"/>
  <c r="F249"/>
  <c r="H361"/>
  <c r="F127"/>
  <c r="J127"/>
  <c r="J229"/>
  <c r="H515"/>
  <c r="F533"/>
  <c r="J533"/>
  <c r="H557"/>
  <c r="G638"/>
  <c r="F135"/>
  <c r="H143"/>
  <c r="F227"/>
  <c r="K249"/>
  <c r="F321"/>
  <c r="H605"/>
  <c r="H638"/>
  <c r="H597"/>
  <c r="G241"/>
  <c r="J599"/>
  <c r="J597" s="1"/>
  <c r="H127"/>
  <c r="H417"/>
  <c r="F557"/>
  <c r="J557"/>
  <c r="I638"/>
  <c r="F655"/>
  <c r="J655"/>
  <c r="H655"/>
  <c r="K228"/>
  <c r="K225" s="1"/>
  <c r="I229"/>
  <c r="F269"/>
  <c r="G557"/>
  <c r="F599"/>
  <c r="F597" s="1"/>
  <c r="K655"/>
  <c r="J113"/>
  <c r="H135"/>
  <c r="I227"/>
  <c r="F297"/>
  <c r="J361"/>
  <c r="J457"/>
  <c r="F515"/>
  <c r="J515"/>
  <c r="G533"/>
  <c r="G589"/>
  <c r="F638"/>
  <c r="J638"/>
  <c r="G135"/>
  <c r="G565"/>
  <c r="F143"/>
  <c r="J143"/>
  <c r="H228"/>
  <c r="K233"/>
  <c r="F273"/>
  <c r="F281"/>
  <c r="J281"/>
  <c r="F361"/>
  <c r="H533"/>
  <c r="F581"/>
  <c r="J581"/>
  <c r="I605"/>
  <c r="K638"/>
  <c r="I655"/>
  <c r="G227"/>
  <c r="G361"/>
  <c r="K597"/>
  <c r="K605"/>
  <c r="K581"/>
  <c r="O411" i="3"/>
  <c r="K557" i="1"/>
  <c r="O416" i="3"/>
  <c r="K533" i="1"/>
  <c r="K515"/>
  <c r="O394" i="3"/>
  <c r="K401" i="1"/>
  <c r="O357" i="3"/>
  <c r="O355" s="1"/>
  <c r="K361" i="1"/>
  <c r="K281"/>
  <c r="K273"/>
  <c r="K143"/>
  <c r="K135"/>
  <c r="K115"/>
  <c r="K127"/>
  <c r="K119"/>
  <c r="K114"/>
  <c r="K103"/>
  <c r="I597"/>
  <c r="I581"/>
  <c r="I557"/>
  <c r="M394" i="3"/>
  <c r="I361" i="1"/>
  <c r="I273"/>
  <c r="I143"/>
  <c r="I135"/>
  <c r="I127"/>
  <c r="I119"/>
  <c r="I103"/>
  <c r="G605"/>
  <c r="G600"/>
  <c r="G597" s="1"/>
  <c r="G581"/>
  <c r="G515"/>
  <c r="G281"/>
  <c r="G273"/>
  <c r="G143"/>
  <c r="G115"/>
  <c r="G127"/>
  <c r="G119"/>
  <c r="G103"/>
  <c r="J630"/>
  <c r="I573"/>
  <c r="I228"/>
  <c r="I114"/>
  <c r="F114"/>
  <c r="H115"/>
  <c r="I113"/>
  <c r="G114"/>
  <c r="I115"/>
  <c r="J114"/>
  <c r="F113"/>
  <c r="H114"/>
  <c r="J115"/>
  <c r="G113"/>
  <c r="K113"/>
  <c r="H113"/>
  <c r="H103"/>
  <c r="F103"/>
  <c r="J103"/>
  <c r="N416" i="3"/>
  <c r="L416"/>
  <c r="M416"/>
  <c r="K394"/>
  <c r="L357"/>
  <c r="M357"/>
  <c r="M355" s="1"/>
  <c r="O283"/>
  <c r="O282" s="1"/>
  <c r="O280" s="1"/>
  <c r="N283"/>
  <c r="M283"/>
  <c r="M282" s="1"/>
  <c r="M280" s="1"/>
  <c r="L283"/>
  <c r="K283"/>
  <c r="K282" s="1"/>
  <c r="K280" s="1"/>
  <c r="J283"/>
  <c r="O260"/>
  <c r="O259" s="1"/>
  <c r="N260"/>
  <c r="M260"/>
  <c r="M259" s="1"/>
  <c r="L260"/>
  <c r="K260"/>
  <c r="K259" s="1"/>
  <c r="J260"/>
  <c r="H622" i="1" l="1"/>
  <c r="J622"/>
  <c r="F617"/>
  <c r="F613" s="1"/>
  <c r="L282" i="3"/>
  <c r="L280" s="1"/>
  <c r="J335"/>
  <c r="L291"/>
  <c r="J291"/>
  <c r="J282"/>
  <c r="N282"/>
  <c r="N280" s="1"/>
  <c r="J355"/>
  <c r="L355"/>
  <c r="N355"/>
  <c r="N335"/>
  <c r="M335"/>
  <c r="N259"/>
  <c r="L259"/>
  <c r="J259"/>
  <c r="J365"/>
  <c r="L365"/>
  <c r="J280"/>
  <c r="N365"/>
  <c r="L471"/>
  <c r="N471"/>
  <c r="J471"/>
  <c r="H505" i="1"/>
  <c r="M411" i="3"/>
  <c r="H225" i="1"/>
  <c r="G541"/>
  <c r="J411" i="3"/>
  <c r="G265" i="1"/>
  <c r="G225"/>
  <c r="J225"/>
  <c r="H111"/>
  <c r="F7"/>
  <c r="F265"/>
  <c r="F225"/>
  <c r="J541"/>
  <c r="J573"/>
  <c r="K265"/>
  <c r="J393"/>
  <c r="F289"/>
  <c r="G573"/>
  <c r="F393"/>
  <c r="F541"/>
  <c r="F573"/>
  <c r="J7"/>
  <c r="G613"/>
  <c r="I541"/>
  <c r="J289"/>
  <c r="H289"/>
  <c r="H541"/>
  <c r="G393"/>
  <c r="H573"/>
  <c r="G289"/>
  <c r="I225"/>
  <c r="K613"/>
  <c r="I265"/>
  <c r="K289"/>
  <c r="F111"/>
  <c r="I289"/>
  <c r="K541"/>
  <c r="H613"/>
  <c r="K573"/>
  <c r="K393"/>
  <c r="K111"/>
  <c r="K7"/>
  <c r="I7"/>
  <c r="G7"/>
  <c r="J613"/>
  <c r="I613"/>
  <c r="I393"/>
  <c r="H393"/>
  <c r="J111"/>
  <c r="G111"/>
  <c r="I111"/>
  <c r="H7"/>
  <c r="O256" i="3"/>
  <c r="N256"/>
  <c r="M256"/>
  <c r="L256"/>
  <c r="K256"/>
  <c r="J256"/>
  <c r="O183"/>
  <c r="O182" s="1"/>
  <c r="N183"/>
  <c r="M183"/>
  <c r="M182" s="1"/>
  <c r="L183"/>
  <c r="K183"/>
  <c r="K182" s="1"/>
  <c r="J183"/>
  <c r="O163"/>
  <c r="O162" s="1"/>
  <c r="N163"/>
  <c r="M163"/>
  <c r="M162" s="1"/>
  <c r="L163"/>
  <c r="K163"/>
  <c r="K162" s="1"/>
  <c r="J163"/>
  <c r="O135"/>
  <c r="N135"/>
  <c r="M135"/>
  <c r="L135"/>
  <c r="K135"/>
  <c r="J135"/>
  <c r="O115"/>
  <c r="O114" s="1"/>
  <c r="N115"/>
  <c r="M115"/>
  <c r="M114" s="1"/>
  <c r="L115"/>
  <c r="K115"/>
  <c r="J114"/>
  <c r="L162" l="1"/>
  <c r="N182"/>
  <c r="N114"/>
  <c r="J162"/>
  <c r="N162"/>
  <c r="L182"/>
  <c r="L114"/>
  <c r="L113" s="1"/>
  <c r="J182"/>
  <c r="K114"/>
  <c r="I665" i="1"/>
  <c r="J665"/>
  <c r="K665"/>
  <c r="F665"/>
  <c r="H665"/>
  <c r="G665"/>
  <c r="J255" i="3"/>
  <c r="J201" s="1"/>
  <c r="N255"/>
  <c r="K255"/>
  <c r="K201" s="1"/>
  <c r="K199" s="1"/>
  <c r="O255"/>
  <c r="O201" s="1"/>
  <c r="O199" s="1"/>
  <c r="L255"/>
  <c r="M255"/>
  <c r="M201" s="1"/>
  <c r="M199" s="1"/>
  <c r="K113"/>
  <c r="K112" s="1"/>
  <c r="O113"/>
  <c r="O112" s="1"/>
  <c r="M113"/>
  <c r="M112" s="1"/>
  <c r="L12"/>
  <c r="M12"/>
  <c r="N12"/>
  <c r="O12"/>
  <c r="L73"/>
  <c r="M73"/>
  <c r="M72" s="1"/>
  <c r="N73"/>
  <c r="O73"/>
  <c r="O72" s="1"/>
  <c r="O106"/>
  <c r="O105" s="1"/>
  <c r="N106"/>
  <c r="M106"/>
  <c r="M105" s="1"/>
  <c r="L106"/>
  <c r="K106"/>
  <c r="K105"/>
  <c r="O99"/>
  <c r="O98" s="1"/>
  <c r="N99"/>
  <c r="M99"/>
  <c r="M98" s="1"/>
  <c r="L99"/>
  <c r="K99"/>
  <c r="K98" s="1"/>
  <c r="J99"/>
  <c r="O93"/>
  <c r="O92" s="1"/>
  <c r="N93"/>
  <c r="M93"/>
  <c r="M92" s="1"/>
  <c r="L93"/>
  <c r="K93"/>
  <c r="K92" s="1"/>
  <c r="L88"/>
  <c r="M88"/>
  <c r="M87" s="1"/>
  <c r="N88"/>
  <c r="O88"/>
  <c r="O87" s="1"/>
  <c r="K88"/>
  <c r="K87" s="1"/>
  <c r="J88"/>
  <c r="L82"/>
  <c r="L81" s="1"/>
  <c r="M82"/>
  <c r="M81" s="1"/>
  <c r="N82"/>
  <c r="O82"/>
  <c r="O81" s="1"/>
  <c r="O85"/>
  <c r="N85"/>
  <c r="M85"/>
  <c r="L85"/>
  <c r="K85"/>
  <c r="J85"/>
  <c r="K82"/>
  <c r="K81" s="1"/>
  <c r="J82"/>
  <c r="K73"/>
  <c r="K72" s="1"/>
  <c r="J73"/>
  <c r="J12"/>
  <c r="K12"/>
  <c r="M630" i="1"/>
  <c r="L630"/>
  <c r="M601"/>
  <c r="M608"/>
  <c r="M607"/>
  <c r="L601"/>
  <c r="L608"/>
  <c r="L600" s="1"/>
  <c r="L607"/>
  <c r="L599" s="1"/>
  <c r="M589"/>
  <c r="L589"/>
  <c r="M549"/>
  <c r="L549"/>
  <c r="M565"/>
  <c r="M537"/>
  <c r="L537"/>
  <c r="M529"/>
  <c r="L525"/>
  <c r="M520"/>
  <c r="M510" s="1"/>
  <c r="M519"/>
  <c r="M509" s="1"/>
  <c r="L520"/>
  <c r="L510" s="1"/>
  <c r="L519"/>
  <c r="M489"/>
  <c r="L489"/>
  <c r="M465"/>
  <c r="L465"/>
  <c r="L457"/>
  <c r="M449"/>
  <c r="L449"/>
  <c r="M425"/>
  <c r="L425"/>
  <c r="L417"/>
  <c r="M401"/>
  <c r="L401"/>
  <c r="M457"/>
  <c r="M377"/>
  <c r="L377"/>
  <c r="L369"/>
  <c r="J72" i="3" l="1"/>
  <c r="N81"/>
  <c r="L87"/>
  <c r="N105"/>
  <c r="L72"/>
  <c r="J81"/>
  <c r="N87"/>
  <c r="L92"/>
  <c r="L105"/>
  <c r="N113"/>
  <c r="N92"/>
  <c r="N201"/>
  <c r="N199" s="1"/>
  <c r="L112"/>
  <c r="L201"/>
  <c r="L199" s="1"/>
  <c r="J199"/>
  <c r="J87"/>
  <c r="N72"/>
  <c r="J113"/>
  <c r="J98"/>
  <c r="N98"/>
  <c r="L98"/>
  <c r="M599" i="1"/>
  <c r="M605"/>
  <c r="L533"/>
  <c r="L511"/>
  <c r="M511"/>
  <c r="M505" s="1"/>
  <c r="K11" i="3"/>
  <c r="K10" s="1"/>
  <c r="M11"/>
  <c r="M10" s="1"/>
  <c r="M495" s="1"/>
  <c r="O11"/>
  <c r="O10" s="1"/>
  <c r="O495" s="1"/>
  <c r="M655" i="1"/>
  <c r="M638"/>
  <c r="L638"/>
  <c r="L557"/>
  <c r="L655"/>
  <c r="L597"/>
  <c r="M600"/>
  <c r="L605"/>
  <c r="J93" i="3"/>
  <c r="M581" i="1"/>
  <c r="L515"/>
  <c r="L581"/>
  <c r="L509"/>
  <c r="M515"/>
  <c r="M557"/>
  <c r="M525"/>
  <c r="M533"/>
  <c r="M417"/>
  <c r="M361"/>
  <c r="M369"/>
  <c r="M353"/>
  <c r="L353"/>
  <c r="M345"/>
  <c r="L345"/>
  <c r="M337"/>
  <c r="L337"/>
  <c r="M321"/>
  <c r="M313"/>
  <c r="L313"/>
  <c r="M305"/>
  <c r="L305"/>
  <c r="M300"/>
  <c r="M292" s="1"/>
  <c r="L300"/>
  <c r="L292" s="1"/>
  <c r="L289" s="1"/>
  <c r="M253"/>
  <c r="M229" s="1"/>
  <c r="L253"/>
  <c r="L249" s="1"/>
  <c r="M244"/>
  <c r="M228" s="1"/>
  <c r="L244"/>
  <c r="L228" s="1"/>
  <c r="M235"/>
  <c r="M227" s="1"/>
  <c r="L235"/>
  <c r="L233" s="1"/>
  <c r="M116"/>
  <c r="L11" i="3" l="1"/>
  <c r="L10" s="1"/>
  <c r="L495" s="1"/>
  <c r="N112"/>
  <c r="J92"/>
  <c r="J112"/>
  <c r="N11"/>
  <c r="N10" s="1"/>
  <c r="M597" i="1"/>
  <c r="L573"/>
  <c r="M541"/>
  <c r="M241"/>
  <c r="K495" i="3"/>
  <c r="M573" i="1"/>
  <c r="L241"/>
  <c r="L541"/>
  <c r="L505"/>
  <c r="M393"/>
  <c r="L297"/>
  <c r="M297"/>
  <c r="L321"/>
  <c r="L227"/>
  <c r="M273"/>
  <c r="L265"/>
  <c r="M265"/>
  <c r="M281"/>
  <c r="L281"/>
  <c r="L273"/>
  <c r="M225"/>
  <c r="L229"/>
  <c r="L225" s="1"/>
  <c r="M233"/>
  <c r="M249"/>
  <c r="M115"/>
  <c r="M113"/>
  <c r="M114"/>
  <c r="L127"/>
  <c r="L114"/>
  <c r="L119"/>
  <c r="L113"/>
  <c r="L115"/>
  <c r="L116"/>
  <c r="M119"/>
  <c r="M143"/>
  <c r="L143"/>
  <c r="L135"/>
  <c r="M135"/>
  <c r="M127"/>
  <c r="M75"/>
  <c r="L75"/>
  <c r="M67"/>
  <c r="M59"/>
  <c r="L59"/>
  <c r="M50"/>
  <c r="L50"/>
  <c r="L10" s="1"/>
  <c r="M42"/>
  <c r="N495" i="3" l="1"/>
  <c r="J11"/>
  <c r="J10" s="1"/>
  <c r="J495" s="1"/>
  <c r="L11" i="1"/>
  <c r="M10"/>
  <c r="M11"/>
  <c r="M289"/>
  <c r="M111"/>
  <c r="M103"/>
  <c r="L111"/>
  <c r="Q491" i="3"/>
  <c r="P491"/>
  <c r="Q489"/>
  <c r="M625" i="1" s="1"/>
  <c r="M617" s="1"/>
  <c r="P489" i="3"/>
  <c r="P485"/>
  <c r="Q473"/>
  <c r="P473"/>
  <c r="Q455"/>
  <c r="Q449"/>
  <c r="Q420"/>
  <c r="Q414" s="1"/>
  <c r="P420"/>
  <c r="Q419"/>
  <c r="Q404"/>
  <c r="P404"/>
  <c r="Q398"/>
  <c r="Q397"/>
  <c r="Q390"/>
  <c r="P390"/>
  <c r="Q388"/>
  <c r="P388"/>
  <c r="Q382"/>
  <c r="P382"/>
  <c r="Q380"/>
  <c r="P380"/>
  <c r="Q378"/>
  <c r="P378"/>
  <c r="Q374"/>
  <c r="P374"/>
  <c r="Q372"/>
  <c r="P372"/>
  <c r="Q368"/>
  <c r="P368"/>
  <c r="Q361"/>
  <c r="P361"/>
  <c r="Q359"/>
  <c r="P359"/>
  <c r="Q351"/>
  <c r="P351"/>
  <c r="Q348"/>
  <c r="P348"/>
  <c r="Q343"/>
  <c r="P343"/>
  <c r="Q341"/>
  <c r="P341"/>
  <c r="Q339"/>
  <c r="P339"/>
  <c r="Q337"/>
  <c r="P337"/>
  <c r="Q323"/>
  <c r="Q293" s="1"/>
  <c r="P323"/>
  <c r="S287"/>
  <c r="S282" s="1"/>
  <c r="S280" s="1"/>
  <c r="S495" s="1"/>
  <c r="R287"/>
  <c r="R282" s="1"/>
  <c r="R280" s="1"/>
  <c r="R495" s="1"/>
  <c r="Q287"/>
  <c r="P287"/>
  <c r="Q285"/>
  <c r="P285"/>
  <c r="Q283"/>
  <c r="P283"/>
  <c r="Q260"/>
  <c r="Q256"/>
  <c r="P182"/>
  <c r="Q183"/>
  <c r="Q163"/>
  <c r="Q162" s="1"/>
  <c r="P163"/>
  <c r="Q135"/>
  <c r="Q115"/>
  <c r="Q106"/>
  <c r="Q105" s="1"/>
  <c r="P106"/>
  <c r="Q99"/>
  <c r="Q98" s="1"/>
  <c r="P99"/>
  <c r="Q93"/>
  <c r="P92"/>
  <c r="Q88"/>
  <c r="Q87" s="1"/>
  <c r="P88"/>
  <c r="Q85"/>
  <c r="P85"/>
  <c r="Q82"/>
  <c r="Q81" s="1"/>
  <c r="P82"/>
  <c r="Q73"/>
  <c r="Q72" s="1"/>
  <c r="P73"/>
  <c r="P12"/>
  <c r="Q12"/>
  <c r="Q415" l="1"/>
  <c r="L625" i="1"/>
  <c r="L617" s="1"/>
  <c r="L613" s="1"/>
  <c r="Q92" i="3"/>
  <c r="Q11" s="1"/>
  <c r="Q10" s="1"/>
  <c r="P81"/>
  <c r="P87"/>
  <c r="P98"/>
  <c r="Q114"/>
  <c r="Q182"/>
  <c r="P322"/>
  <c r="P293"/>
  <c r="P72"/>
  <c r="P105"/>
  <c r="P162"/>
  <c r="P113" s="1"/>
  <c r="Q454"/>
  <c r="Q259"/>
  <c r="P472"/>
  <c r="P471" s="1"/>
  <c r="Q472"/>
  <c r="Q471" s="1"/>
  <c r="M622" i="1"/>
  <c r="M613"/>
  <c r="P414" i="3"/>
  <c r="P416"/>
  <c r="P336"/>
  <c r="P367"/>
  <c r="P365" s="1"/>
  <c r="Q336"/>
  <c r="Q335" s="1"/>
  <c r="Q367"/>
  <c r="Q291"/>
  <c r="Q322"/>
  <c r="Q255"/>
  <c r="P282"/>
  <c r="P357"/>
  <c r="Q282"/>
  <c r="Q280" s="1"/>
  <c r="Q357"/>
  <c r="Q355" s="1"/>
  <c r="P394"/>
  <c r="Q394"/>
  <c r="L7" i="1"/>
  <c r="M7"/>
  <c r="Q416" i="3"/>
  <c r="L622" i="1" l="1"/>
  <c r="Q113" i="3"/>
  <c r="Q112" s="1"/>
  <c r="P112"/>
  <c r="P355"/>
  <c r="L665" i="1"/>
  <c r="Q201" i="3"/>
  <c r="P411"/>
  <c r="P280"/>
  <c r="P11"/>
  <c r="P10" s="1"/>
  <c r="P291"/>
  <c r="P335"/>
  <c r="Q365"/>
  <c r="M665" i="1"/>
  <c r="Q411" i="3"/>
  <c r="P495" l="1"/>
  <c r="Q199"/>
  <c r="Q495"/>
</calcChain>
</file>

<file path=xl/sharedStrings.xml><?xml version="1.0" encoding="utf-8"?>
<sst xmlns="http://schemas.openxmlformats.org/spreadsheetml/2006/main" count="4837" uniqueCount="775">
  <si>
    <t>к Порядку принятия решений о разработке муниципальных программ Шушенского района, их формировании и реализации</t>
  </si>
  <si>
    <t>тыс. рублей</t>
  </si>
  <si>
    <t>Статус</t>
  </si>
  <si>
    <t>Наименование муниципальной программы, подпрограммы муниципальной программы</t>
  </si>
  <si>
    <t>Источники финансирования</t>
  </si>
  <si>
    <t>Плановый период</t>
  </si>
  <si>
    <t xml:space="preserve">Примечание </t>
  </si>
  <si>
    <t>январь - март</t>
  </si>
  <si>
    <t>январь - июнь</t>
  </si>
  <si>
    <t>январь-сентябрь</t>
  </si>
  <si>
    <t>значение на конец года</t>
  </si>
  <si>
    <t>план</t>
  </si>
  <si>
    <t>факт</t>
  </si>
  <si>
    <t>1-ый год</t>
  </si>
  <si>
    <t>2-ой год</t>
  </si>
  <si>
    <t>муниципальная программа</t>
  </si>
  <si>
    <t xml:space="preserve">Всего                    </t>
  </si>
  <si>
    <t xml:space="preserve">в том числе:             </t>
  </si>
  <si>
    <t>федеральный бюджет</t>
  </si>
  <si>
    <t xml:space="preserve">краевой бюджет           </t>
  </si>
  <si>
    <t>районный бюджет</t>
  </si>
  <si>
    <t>бюджеты поселений</t>
  </si>
  <si>
    <t xml:space="preserve">внебюджетные  источники                 </t>
  </si>
  <si>
    <t>юридические лица</t>
  </si>
  <si>
    <t>Мероприятие программы 1</t>
  </si>
  <si>
    <t>Подпрограмма 1</t>
  </si>
  <si>
    <t xml:space="preserve">федеральный бюджет    </t>
  </si>
  <si>
    <t xml:space="preserve">федеральный бюджет </t>
  </si>
  <si>
    <t>Муниципальная программа  "Развитие образования Шушенского района"</t>
  </si>
  <si>
    <t xml:space="preserve"> "Развитие дошкольного, общего и дополнительного образования" </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</si>
  <si>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</si>
  <si>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Мероприятие программы 2</t>
  </si>
  <si>
    <t>Мероприятие программы 3</t>
  </si>
  <si>
    <t>Мероприятие программы 4</t>
  </si>
  <si>
    <t>Мероприятие программы 5</t>
  </si>
  <si>
    <t>Мероприятие программы 6</t>
  </si>
  <si>
    <t>Мероприятие программы 7</t>
  </si>
  <si>
    <t>Мероприятие программы 8</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</si>
  <si>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за счет средств районного бюджета</t>
  </si>
  <si>
    <t>Обеспечение жизнедеятельности подведомственных учреждений</t>
  </si>
  <si>
    <t>Обеспечение деятельности (оказание услуг) подведомственных учреждений</t>
  </si>
  <si>
    <t>Руководство и управление в сфере установленных функций органов местного самоуправления</t>
  </si>
  <si>
    <t>Обеспечение предоставления жилых помещений детям сиротам и детям, оставшимся без попечения родителей, лицам из их числа за счет средств краевого бюджета</t>
  </si>
  <si>
    <t>Осуществление государственных полномочий по организации и осуществлению деятельности по опеке и попечительству в отношении несовершеннолетних</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</si>
  <si>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федерального бюджета</t>
  </si>
  <si>
    <t>Приложение № 9</t>
  </si>
  <si>
    <t>Информация об использовании бюджетных ассигнований районного бюджета и иных средств на реализацию мероприятий муниципальных программ (с расшифровкой по главным распорядителям средств районного бюджета, муниципальным программам, основным мероприятиям, а также по годам реализации муниципальной программы)</t>
  </si>
  <si>
    <t>Статус (муниципальная программа, подпрограмма)</t>
  </si>
  <si>
    <t>Наименование  программы, подпрограммы, мероприятия</t>
  </si>
  <si>
    <t>Наименовние ГРБС</t>
  </si>
  <si>
    <t xml:space="preserve">Код бюджетной классификации </t>
  </si>
  <si>
    <t>Расходы по годам</t>
  </si>
  <si>
    <t>Примечание</t>
  </si>
  <si>
    <t>ГРБС</t>
  </si>
  <si>
    <t>Рз Пр</t>
  </si>
  <si>
    <t>ЦСР</t>
  </si>
  <si>
    <t>ВР</t>
  </si>
  <si>
    <t xml:space="preserve">всего расходные обязательства </t>
  </si>
  <si>
    <t>в том числе по ГРБС: Управление образования администрации Шушенского района</t>
  </si>
  <si>
    <t>078</t>
  </si>
  <si>
    <t xml:space="preserve">Подпрограмма 1. "Развитие дошкольного, общего и дополнительного образования" </t>
  </si>
  <si>
    <t>0701</t>
  </si>
  <si>
    <t>0111021</t>
  </si>
  <si>
    <t>610</t>
  </si>
  <si>
    <t>0702</t>
  </si>
  <si>
    <t>620</t>
  </si>
  <si>
    <t>Средства на повышение минимальных размеров окладов, ставок заработной платы работников бюджетной сферы края, которым предоставляется региональная выплата, с 1 октября 2014 года на 10 процентов</t>
  </si>
  <si>
    <t>0111022</t>
  </si>
  <si>
    <t>Персональные выплаты, устанавливаемые в целях повышения оплаты труда молодым специалистам</t>
  </si>
  <si>
    <t>0111031</t>
  </si>
  <si>
    <t>Модернизация региональных систем дошкольного образования за счет средств федерального бюджета</t>
  </si>
  <si>
    <t>0115059</t>
  </si>
  <si>
    <t>Расходы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для создания условий, позволяющих реализовать основную общеобразовательную программу дошкольного образования детей, а также приобретение оборудования, мебели</t>
  </si>
  <si>
    <t>0117421</t>
  </si>
  <si>
    <t>Расходы на финансовую поддержку муниципальных учреждений, иных муниципальных организаций, оказывающих услуги по отдыху, оздоровлению и занятости детей</t>
  </si>
  <si>
    <t>0707</t>
  </si>
  <si>
    <t>0117441</t>
  </si>
  <si>
    <t>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</si>
  <si>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1003</t>
  </si>
  <si>
    <t>0117554</t>
  </si>
  <si>
    <t>Выплата и доставка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t>
  </si>
  <si>
    <t>1004</t>
  </si>
  <si>
    <t>0117556</t>
  </si>
  <si>
    <t>360</t>
  </si>
  <si>
    <t>Расходы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t>
  </si>
  <si>
    <t>0117558</t>
  </si>
  <si>
    <t>Расходы на денежное поощрение победителям конкурса "Детские сады - детям"</t>
  </si>
  <si>
    <t>0117559</t>
  </si>
  <si>
    <t>Расходы на проведение реконструкции или капитального ремонта зданий общеобразовательных учреждений Красноярского края, находящихся в аварийном состоянии</t>
  </si>
  <si>
    <t>0117562</t>
  </si>
  <si>
    <t>Финансовое обеспечение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</si>
  <si>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0117564</t>
  </si>
  <si>
    <t>Обеспечение питанием детей, обучающихся в муниципальных и негосударственных образовательных организациях, реализующих основные общеобразовательные программы, без взимания платы</t>
  </si>
  <si>
    <t>0117566</t>
  </si>
  <si>
    <t>Расходы на реализацию муниципальных программ по работе с одаренными детьми на конкурсной основе</t>
  </si>
  <si>
    <t>0117581</t>
  </si>
  <si>
    <t>Оплата стоимости набора продуктов питания или готовых блюд и их транспортировки в лагерях с дневным пребыванием детей</t>
  </si>
  <si>
    <t>0117582</t>
  </si>
  <si>
    <t>Расходы на 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t>
  </si>
  <si>
    <t>0117584</t>
  </si>
  <si>
    <t>Организация отдыха, оздоровления и занятости детей в муниципальных загородных оздоровительных лагерях</t>
  </si>
  <si>
    <t>0117585</t>
  </si>
  <si>
    <t>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t>
  </si>
  <si>
    <t>0117588</t>
  </si>
  <si>
    <t>Расходы, направляемые на создание безопасных и комфортных условий функционирования объектов муниципальной собственности, развитие муниципальных учреждений</t>
  </si>
  <si>
    <t>0117746</t>
  </si>
  <si>
    <t>0119061</t>
  </si>
  <si>
    <t>0119101</t>
  </si>
  <si>
    <t>Проведение мероприятий, направленных на выявление и поддержку одаренных детей: олимпиада, конференция, конкурсы, форум</t>
  </si>
  <si>
    <t>0709</t>
  </si>
  <si>
    <t>0119102</t>
  </si>
  <si>
    <t>Мероприятия на реализацию системы отдыха, оздоровления детей в детском оздоровительно - образовательном лагере "Журавленок"</t>
  </si>
  <si>
    <t>0119103</t>
  </si>
  <si>
    <t>Укрепление материально-технической базы образовательных учреждений на открытие дополнительных мест</t>
  </si>
  <si>
    <t>0119104</t>
  </si>
  <si>
    <t>Оплата стоимости набора продуктов питания или готовых блюд и их транспортировки в лагерях с дневным пребыванием детей, за счет средств районного бюджета</t>
  </si>
  <si>
    <t>0119201</t>
  </si>
  <si>
    <t xml:space="preserve">Организация отдыха, оздоровления и занятости детей в муниципальных загородных оздоровительных лагерях, за счет средств районного бюджета </t>
  </si>
  <si>
    <t>0119202</t>
  </si>
  <si>
    <t>Расходы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за счет средств районного бюджета</t>
  </si>
  <si>
    <t>0119205</t>
  </si>
  <si>
    <t>Предоставление денежного поощрения победителям конкурса "Детские сады - детям", за счет средств районного бюджета</t>
  </si>
  <si>
    <t>0119215</t>
  </si>
  <si>
    <t>Расходы на выплаты отдельным категориям работников муниципальных загородных оздоровительных лагерей, на оплату услуг по санитарно - эпидемиологической оценке обстановки в муниципальных загородных лагерях, оказанных на договорной основе, за счет средств районного бюджета</t>
  </si>
  <si>
    <t>0119221</t>
  </si>
  <si>
    <t>Расходы на финансовую поддержку муниципальных учреждений, иных муниципальных организаций, оказывающих услуги по отдыху, оздоровлению и занятости детей, за счет средств районного бюджета</t>
  </si>
  <si>
    <t>0119222</t>
  </si>
  <si>
    <t>Модернизация региональных систем дошкольного образования, за счет средств районного бюджета</t>
  </si>
  <si>
    <t>0119224</t>
  </si>
  <si>
    <t>0119235</t>
  </si>
  <si>
    <t>Основное мероприятие 1</t>
  </si>
  <si>
    <t xml:space="preserve">в том числе по ГРБС: </t>
  </si>
  <si>
    <t>Управление образования администрации Шушенского района</t>
  </si>
  <si>
    <t>0121021</t>
  </si>
  <si>
    <t>110</t>
  </si>
  <si>
    <t>Основное мероприятие 2</t>
  </si>
  <si>
    <t>0125082</t>
  </si>
  <si>
    <t>410</t>
  </si>
  <si>
    <t>Основное мероприятие 3</t>
  </si>
  <si>
    <t>0127552</t>
  </si>
  <si>
    <t>120</t>
  </si>
  <si>
    <t>240</t>
  </si>
  <si>
    <t>Основное мероприятие 4</t>
  </si>
  <si>
    <t>0127587</t>
  </si>
  <si>
    <t>Основное мероприятие 5</t>
  </si>
  <si>
    <t>0129021</t>
  </si>
  <si>
    <t>Основное мероприятие 6</t>
  </si>
  <si>
    <t>0129061</t>
  </si>
  <si>
    <t>Основное мероприятие 7</t>
  </si>
  <si>
    <t>0129101</t>
  </si>
  <si>
    <t>Основное мероприятие 8</t>
  </si>
  <si>
    <t>0129235</t>
  </si>
  <si>
    <t>Муниципальная программа "Развитие культуры Шушенского района"</t>
  </si>
  <si>
    <t>в том числе по ГРБС: Отдел культуры администрации Шушенского района</t>
  </si>
  <si>
    <t>Подпрограмма 1. "Культурное наследие"</t>
  </si>
  <si>
    <t>058</t>
  </si>
  <si>
    <t>0801</t>
  </si>
  <si>
    <t>0211021</t>
  </si>
  <si>
    <t>0211022</t>
  </si>
  <si>
    <t>Расходы на подключение общедоступных библиотек Российской Федерации к сети Интернет</t>
  </si>
  <si>
    <t>0215146</t>
  </si>
  <si>
    <t>520</t>
  </si>
  <si>
    <t>Оснащение муниципальных музеев и библиотек Красноярского края программным обеспечением, в том числе для ведения электронного каталога</t>
  </si>
  <si>
    <t>0217485</t>
  </si>
  <si>
    <t>Комплектование книжных фондов библиотек муниципальных образований Красноярского края</t>
  </si>
  <si>
    <t>0217488</t>
  </si>
  <si>
    <t>0219061</t>
  </si>
  <si>
    <t>0219101</t>
  </si>
  <si>
    <t>Проведение культурно-просветительных мероприятий для детей</t>
  </si>
  <si>
    <t>0219106</t>
  </si>
  <si>
    <t>Повышение квалификации специалистов</t>
  </si>
  <si>
    <t>0219158</t>
  </si>
  <si>
    <t>Проведение 70-летнего юбилея Шушенского района</t>
  </si>
  <si>
    <t>0219159</t>
  </si>
  <si>
    <t>Проведение мероприятий по созданию единого информационного и культурного пространства района</t>
  </si>
  <si>
    <t>0219160</t>
  </si>
  <si>
    <t>Комплектование книжных фондов библиотек муниципальных образований, за счет средств районного бюджета</t>
  </si>
  <si>
    <t>0219228</t>
  </si>
  <si>
    <t>Ведение электронного каталога, за счет средств районного бюджета</t>
  </si>
  <si>
    <t>0219229</t>
  </si>
  <si>
    <t>Подпрограмма 2. "Искусство и народное творчество"</t>
  </si>
  <si>
    <t>0221021</t>
  </si>
  <si>
    <t>0221022</t>
  </si>
  <si>
    <t>0221031</t>
  </si>
  <si>
    <t>Государственная поддержка муниципальных учреждений культуры</t>
  </si>
  <si>
    <t>0225147</t>
  </si>
  <si>
    <t>0804</t>
  </si>
  <si>
    <t>Государственная поддержка лучших работников муниципальных учреждений культуры, находящихся на территориях сельских поселений</t>
  </si>
  <si>
    <t>0225148</t>
  </si>
  <si>
    <t>Поддержка социокультурных проектов муниципальных учреждений культуры и образовательных учреждений в области культуры</t>
  </si>
  <si>
    <t>0227481</t>
  </si>
  <si>
    <t>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t>
  </si>
  <si>
    <t>0227746</t>
  </si>
  <si>
    <t>0228001</t>
  </si>
  <si>
    <t>0229061</t>
  </si>
  <si>
    <t xml:space="preserve">Расходы, связанные с подготовкой проведения фестиваля "МИР Сибири" </t>
  </si>
  <si>
    <t>0229088</t>
  </si>
  <si>
    <t>0229101</t>
  </si>
  <si>
    <t>Проведение конкурсно-игровых мероприятий для детей</t>
  </si>
  <si>
    <t>0229105</t>
  </si>
  <si>
    <t>Проведение мероприятий и участие в фестивалях и конкурсах</t>
  </si>
  <si>
    <t>0229157</t>
  </si>
  <si>
    <t>0229158</t>
  </si>
  <si>
    <t>0229159</t>
  </si>
  <si>
    <t>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за счет средств районного бюджета</t>
  </si>
  <si>
    <t>0229223</t>
  </si>
  <si>
    <t>Поддержка социокультурных проектов муниципальных учреждений культуры и образовательных учреждений в области культуры, за счет средств районного бюджета</t>
  </si>
  <si>
    <t>0229227</t>
  </si>
  <si>
    <t>Подпрограмма 3. "Дополнительное образование в области культуры"</t>
  </si>
  <si>
    <t>0231021</t>
  </si>
  <si>
    <t>0231022</t>
  </si>
  <si>
    <t>0231031</t>
  </si>
  <si>
    <t xml:space="preserve">Расходы на реализацию мероприятий федеральной целевой программы «Культура России (2012 - 2018 годы)» </t>
  </si>
  <si>
    <t>0235014</t>
  </si>
  <si>
    <t>Модернизация образовательного процесса муниципальных образовательных учреждений дополнительного образования детей в области культуры и искусства</t>
  </si>
  <si>
    <t>0237482</t>
  </si>
  <si>
    <t>0239061</t>
  </si>
  <si>
    <t>0239101</t>
  </si>
  <si>
    <t>Этноинтерактивная площадка</t>
  </si>
  <si>
    <t>0239107</t>
  </si>
  <si>
    <t>Сопровождение учащихся в санаторно-оздоровительный лагерь</t>
  </si>
  <si>
    <t>0239108</t>
  </si>
  <si>
    <t>Выезд учащихся детской художественной школы на пленэр</t>
  </si>
  <si>
    <t>0239109</t>
  </si>
  <si>
    <t>Выезд обучающихся с концертами по району и поощрительная поездка</t>
  </si>
  <si>
    <t>0239110</t>
  </si>
  <si>
    <t>0239158</t>
  </si>
  <si>
    <t>Подготовка одаренных детей к профессиональной деятельности</t>
  </si>
  <si>
    <t>0239161</t>
  </si>
  <si>
    <t>Поддержка одаренных детей</t>
  </si>
  <si>
    <t>0239162</t>
  </si>
  <si>
    <t>Модернизация образовательного процесса дополнительного образования детей муниципальных образовательных учреждений дополнительного образования детей в области культуры и искусства в 2014 году, за счет средств районного бюджета</t>
  </si>
  <si>
    <t>0239226</t>
  </si>
  <si>
    <t>Реализация мероприятий федеральной целевой программы "Культура России" (2012 - 2018 годы), за счет средств районного бюджета</t>
  </si>
  <si>
    <t>0239236</t>
  </si>
  <si>
    <t>Подпрограмма 4. "Дополнительное образование в области культуры"</t>
  </si>
  <si>
    <t>Оцифровка (перевод в электронный формат ПК "Архивный фонд") описей дел муниципальных архивов края</t>
  </si>
  <si>
    <t>0113</t>
  </si>
  <si>
    <t>0247478</t>
  </si>
  <si>
    <t>Приобретение веб-камер для муниципальных архивов в целях обеспечения их участия в мероприятиях в режиме on-line</t>
  </si>
  <si>
    <t>0247479</t>
  </si>
  <si>
    <t>Осуществление государственных полномочий в области архивного дела, переданных органам местного самоуправления Красноярского края</t>
  </si>
  <si>
    <t>0247519</t>
  </si>
  <si>
    <t>0249021</t>
  </si>
  <si>
    <t>0249061</t>
  </si>
  <si>
    <t>Оцифровка (перевод в электронный формат ПК "Архивный фонд") описей дел муниципальных архивов края, за счет средств районного бюджета</t>
  </si>
  <si>
    <t>0249218</t>
  </si>
  <si>
    <t>Приобретение веб-камеры, за счет средств районного бюджета</t>
  </si>
  <si>
    <t>0249225</t>
  </si>
  <si>
    <t>Муниципальная программа "Система социальной защиты населения Шушенского района"</t>
  </si>
  <si>
    <t>в том числе по ГРБС:</t>
  </si>
  <si>
    <t>Управление социальной защиты населения администрации Шушенского района</t>
  </si>
  <si>
    <t>147</t>
  </si>
  <si>
    <t>Подпрограмма 1. "Повышение качества жизни отдельных категорий граждан, в т.ч. инвалидов, степени их социальной защищенности"</t>
  </si>
  <si>
    <t>в том числе по ГРБС: Управление социальной защиты населения администрации Шушенского района</t>
  </si>
  <si>
    <t>Предоставление, доставка и пересылка ежемесячной денежной выплаты реабилитированным лицам и лицам, признанным пострадавшими от политических репрессий (в соответствии с Законом края от 10 декабря 2004 года № 12-2711 «О мерах социальной поддержки реабилитированных лиц и лиц, признанных пострадавшими от политических репрессий»)</t>
  </si>
  <si>
    <t>0310181</t>
  </si>
  <si>
    <t>320</t>
  </si>
  <si>
    <t>Предоставление, доставка и пересылка ежемесячных денежных выплат ветеранам труда и труженикам тыла (в соответствии с Законом края от 10 декабря 2004 года № 12-2703 «О мерах социальной поддержки ветеранов»)</t>
  </si>
  <si>
    <t>0310211</t>
  </si>
  <si>
    <t>Предоставление, доставка и пересылка ежемесячных денежных выплат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Законом края от 10 декабря 2004 года № 12-2703 «О мерах социальной поддержки ветеранов»)</t>
  </si>
  <si>
    <t>0310212</t>
  </si>
  <si>
    <t>Предоставление, доставка и пересылка ежемесячной денежной выплаты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Законом края от 20 декабря 2007 года № 4-1068 «О дополнительных мерах социальной поддержки членов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t>
  </si>
  <si>
    <t>0310221</t>
  </si>
  <si>
    <t xml:space="preserve">Предоставление, доставка и пересылка компенсации расходов на проезд инвалидам (в том числе детям-инвалидам) к месту проведения обследования, медико-социальной экспертизы, реабилитации и обратно (в соответствии с Законом края от 10 декабря 2004 года № 12-2707«О социальной поддержке инвалидов») </t>
  </si>
  <si>
    <t>0310286</t>
  </si>
  <si>
    <t>Предоставление, доставка и пересылка ежемесячных денежных выплат родителям и законным представителям детей-инвалидов, осуществляющих их воспитание и обучение на дому (в соответствии с Законом края от 10 декабря 2004 года № 12-2707«О социальной поддержке инвалидов»)</t>
  </si>
  <si>
    <t>0310288</t>
  </si>
  <si>
    <t>Предоставление, доставка и пересылка социального пособия на погребение (в соответствии с Законом края от 7 февраля 2008 года № 4-1275 «О выплате социального пособия на погребение и возмещении стоимости услуг по погребению»)</t>
  </si>
  <si>
    <t>0310391</t>
  </si>
  <si>
    <t>Обеспечение беспрепятственного доступа к муниципальным учреждениям социальной инфраструструктуры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t>
  </si>
  <si>
    <t>1006</t>
  </si>
  <si>
    <t>0311095</t>
  </si>
  <si>
    <t>Единовременная адресная материальная помощь на ремонт печного отопления и электропроводки в жилых помещениях обратившимся многодетным семьям, имеющим трех и более детей, среднедушевой доход которых не превышает величины прожиточного минимума, с учетом расходов на доставку и пересылку</t>
  </si>
  <si>
    <t>0312690</t>
  </si>
  <si>
    <t>Единовременная адресная материальная помощь обратившимся гражданам, находящимся в трудной жизненной ситуации, проживающим на территории Красноярского края, с учетом расходов на доставку и пересылку</t>
  </si>
  <si>
    <t>0312696</t>
  </si>
  <si>
    <t>Предоставление, доставка и пересылка единовременной адресной материальной помощи на ремонт жилого помещения проживающим на территории Красноярского края и имеющим доход (среднедушевой доход семьи) ниже полуторакратной величины прожиточного минимума, установленной для пенсионеров по соответствующей группе территорий Красноярского края за 3 последних календарных месяца, предшествующих месяцу подачи заявления об оказании единовременной адресной материальной помощи на ремонт жилого помещения, обратившимся: одиноко проживающим неработающим гражданам, достигшим пенсионного возраста (женщины 55 лет, мужчины 60 лет), и инвалидам I и II групп, а также одиноко проживающим супружеским парам из числа, указанных граждан; семьям, состоящим из указанных граждан, не имеющим в своём составе трудоспособных членов семьи, с учетом расходов на доставку</t>
  </si>
  <si>
    <t>0312699</t>
  </si>
  <si>
    <t>Мероприятия государственной программы Российской Федерации "Доступная среда" на 2011-2015 годы за счет средств федерального бюджета</t>
  </si>
  <si>
    <t>0315027</t>
  </si>
  <si>
    <t>Социальная поддержка Героев Социалистического Труда и полных кавалеров ордена Трудовой Славы</t>
  </si>
  <si>
    <t>0315198</t>
  </si>
  <si>
    <t>Ежегодная денежная выплата лицам, награжденным нагрудным знаком «Почетный донор России»</t>
  </si>
  <si>
    <t>0315220</t>
  </si>
  <si>
    <t xml:space="preserve">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</si>
  <si>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0315280</t>
  </si>
  <si>
    <t>Доплаты к пенсиям муниципальных служащих</t>
  </si>
  <si>
    <t>1001</t>
  </si>
  <si>
    <t>0319100</t>
  </si>
  <si>
    <t>310</t>
  </si>
  <si>
    <t>Расходы по изготовлению проектно-сметной документации</t>
  </si>
  <si>
    <t>0319111</t>
  </si>
  <si>
    <t>Социальная поддержка инвалидов и участников Великой Отечественной войне 1941 - 1945 годов, награждение праздничными подарками, в связи с празднованием Дня Победы и к юбилейным датам (85, 90, 95 и т.д.) лет</t>
  </si>
  <si>
    <t>0319112</t>
  </si>
  <si>
    <t>Социальная поддержка матерей, погибших военнослужащих, вручение праздничных подарков на мероприятиях посвященных празднованию Дня Матери</t>
  </si>
  <si>
    <t>0319113</t>
  </si>
  <si>
    <t>Социальная поддержка воинов Афганцев, награждение праздничными подарками воинов Афганцев на торжественных мероприятиях, посвященных празднованию годовщины вывода войск из Афганистана</t>
  </si>
  <si>
    <t>0319114</t>
  </si>
  <si>
    <t>Субсидия Шушенской районной общественной организации Всероссийского общества инвалидов на возмещение затрат, связанных с проведением социально - значимых мероприятий для инвалидов</t>
  </si>
  <si>
    <t>0319116</t>
  </si>
  <si>
    <t>630</t>
  </si>
  <si>
    <t>Проведение праздничных мероприятий, посвященных Дню матери</t>
  </si>
  <si>
    <t>0319166</t>
  </si>
  <si>
    <t>Проведение декады инвалидов</t>
  </si>
  <si>
    <t>0319167</t>
  </si>
  <si>
    <t>Мероприятия по обеспечению беспрепятственного доступа к муниципальным учреждениям социальной инфраструктуры, за счет средств районного бюджета</t>
  </si>
  <si>
    <t>0319203</t>
  </si>
  <si>
    <t>Устройство внешних пандусов в образовательных учреждениях</t>
  </si>
  <si>
    <t>0319115</t>
  </si>
  <si>
    <t xml:space="preserve">Подпрограмма 2.  "Социальная поддержка семей, имеющих детей" </t>
  </si>
  <si>
    <t>в том числе по ГРБС:  Управление социальной защиты населения администрации Шушенского района</t>
  </si>
  <si>
    <t>Предоставление, доставка и пересылка ежемесячного пособия на ребенка (в соответствии с Законом края от 11 декабря 2012 года № 3-876 «О ежемесячном пособии на ребенка»)</t>
  </si>
  <si>
    <t>0320171</t>
  </si>
  <si>
    <t>Предоставление, доставка и пересылка ежегодного пособия на ребенка школьного возраста (в соответствии с Законом края от 9 декабря 2010 года № 11-5393 «О социальной поддержке семей, имеющих детей, в Красноярском крае»)</t>
  </si>
  <si>
    <t>0320272</t>
  </si>
  <si>
    <t>Предоставление, доставка и пересылка ежемесячного пособия семьям, имеющим детей, в которых родители инвалиды (лица, их замещающие) - инвалиды (в соответствии с Законом края от 9 декабря 2010 года № 11-5393 «О социальной поддержке семей, имеющих детей, в Красноярском крае»)</t>
  </si>
  <si>
    <t>0320273</t>
  </si>
  <si>
    <t>Предоставление, доставка и пересылка ежемесячной компенсации расходов по приобретению единого социального проездного билета или на пополнение социальной карты (в том числе временной), единой социальной карты Красноярского края (в том числе временной) для проезда детей школьного возраста (в соответствии с Законом края от 9 декабря 2010 года № 11-5393 «О социальной поддержке семей, имеющих детей, в Красноярском крае»)</t>
  </si>
  <si>
    <t>0320274</t>
  </si>
  <si>
    <t>Обеспечение бесплатного проезда детей до места нахождения детских оздоровительных лагерей и обратно (в соответствии с Законом края от 9 декабря 2010 года № 11-5393 «О социальной поддержке семей, имеющих детей, в Красноярском крае»)</t>
  </si>
  <si>
    <t>0320275</t>
  </si>
  <si>
    <t>Предоставление, доставка и пересылка компенсации стоимости проезда к месту амбулаторного консультирования и обследования, стационарного лечения, санаторно-курортного лечения и обратно (в соответствии с Законом края от 9 декабря 2010 года № 11-5393 «О социальной поддержке семей, имеющих детей, в Красноярском крае»)</t>
  </si>
  <si>
    <t>0320276</t>
  </si>
  <si>
    <t>Предоставление, доставка и пересылка компенсации стоимости проезда к месту проведения медицинских консультаций, обследования, лечения, перинатальной (дородовой) диагностики нарушений развития ребенка, родоразрешения и обратно (в соответствии с Законом края от 30 июня 2011 года № 12-6043 «О дополнительных мерах социальной поддержки беременных женщин в Красноярском крае»)</t>
  </si>
  <si>
    <t>0320461</t>
  </si>
  <si>
    <t>Предоставление мер социальной поддержки родителям (законным представителям - опекунам, приемным родителям), совместно проживающим с детьми в возрасте от 1,5 до 3 лет, которым временно не предоставлено место в дошкольном образовательном учреждении или предоставлено место в группах кратковременного пребывания дошкольных образовательных учреждений, с учетом доставки мер социальной поддержки</t>
  </si>
  <si>
    <t>0327561</t>
  </si>
  <si>
    <t>Организация отдыха, оздоровление и развитие творческих способностей детей и подростков</t>
  </si>
  <si>
    <t>0329165</t>
  </si>
  <si>
    <t xml:space="preserve">Подпрограмма 3. "Обеспечение социальной поддержки граждан на оплату жилого помещения и коммунальных услуг" </t>
  </si>
  <si>
    <t>Предоставление, доставка и пересылка субсидий гражданам в качестве помощи для оплаты жилья и коммунальных услуг с учетом их доходов (в соответствии с Законом края от 17 декабря 2004 года № 13-2804 «О социальной поддержке населения при оплате жилья и коммунальных услуг»)</t>
  </si>
  <si>
    <t>0330191</t>
  </si>
  <si>
    <t>Предоставление, доставка и пересылка денежных выплат на оплату жилой площади с отоплением и освещением педагогическим работникам, а также педагогическим работникам, вышедшим на пенсию, краевых государственных и муниципальных образовательных учреждений в сельской местности, рабочих поселках (поселках городского типа) (в соответствии с Законом края от 10 июня 2010 года № 10-4691«О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 рабочих поселках (поселках городского типа)»)</t>
  </si>
  <si>
    <t>0330192</t>
  </si>
  <si>
    <t>Оплата жилищно-коммунальных услуг отдельным категориям граждан</t>
  </si>
  <si>
    <t>0330231</t>
  </si>
  <si>
    <t>0335250</t>
  </si>
  <si>
    <t>Подпрограмма 4. "Повышение качества и доступности социальных услуг населению"</t>
  </si>
  <si>
    <t>Содержание учреждений социального обслуживания населения (в соответствии с Законом края от 10 декабря 2004 года № 12-2705 «О социальном обслуживании населения»)</t>
  </si>
  <si>
    <t>1002</t>
  </si>
  <si>
    <t>0340151</t>
  </si>
  <si>
    <t>Подпрограмма 5. "Система социальной защиты населения Шушенского района"</t>
  </si>
  <si>
    <t>Организация деятельности органов управления системой социальной защиты населения</t>
  </si>
  <si>
    <t>0357513</t>
  </si>
  <si>
    <t>Муниципальная программа «Развитие малого и среднего предпринимательства на территории района»</t>
  </si>
  <si>
    <t>Администрация Шушенского района</t>
  </si>
  <si>
    <t>009</t>
  </si>
  <si>
    <t xml:space="preserve">Основное мероприятие 1. </t>
  </si>
  <si>
    <t>Поддержка малого и среднего предпринимательства, включая крестьянские (фермерские) хозяйства за счет средств федерального бюжета</t>
  </si>
  <si>
    <t>в том числе по ГРБС: Администрация Шушенского района</t>
  </si>
  <si>
    <t>0412</t>
  </si>
  <si>
    <t>0415064</t>
  </si>
  <si>
    <t>810</t>
  </si>
  <si>
    <t xml:space="preserve">Основное мероприятие 2. </t>
  </si>
  <si>
    <t>Реализация мероприятий, предусмотренных муниципальными программами развития субъектов малого и среднего предпринимательства</t>
  </si>
  <si>
    <t>0417607</t>
  </si>
  <si>
    <t xml:space="preserve">Основное мероприятие 3. </t>
  </si>
  <si>
    <t>Субсидии вновь созданным субъектам малого предпринимательства на возмещение части расходов, связанных с приобретением и созданием основных средств и началом предпринимательской деятельности</t>
  </si>
  <si>
    <t>0419130</t>
  </si>
  <si>
    <t>Муниципальная программа "Молодежь Шушенского района в XXI"</t>
  </si>
  <si>
    <t>Подпрограмма 1. "Вовлечение молодежи Шушенского района в социальную практику"</t>
  </si>
  <si>
    <t xml:space="preserve">в том числе по ГРБС:  </t>
  </si>
  <si>
    <t>0511021</t>
  </si>
  <si>
    <t>Поддержка деятельности муниципальных молодежных центров</t>
  </si>
  <si>
    <t>0517456</t>
  </si>
  <si>
    <t>Содействие профессиональной ориентации и трудоустройству подростков и молодежи</t>
  </si>
  <si>
    <t>0518003</t>
  </si>
  <si>
    <t>0519061</t>
  </si>
  <si>
    <t>Поддержка молодежных инициатив, лидеров и объединений</t>
  </si>
  <si>
    <t>0519145</t>
  </si>
  <si>
    <t xml:space="preserve">Вручение молодежной премии Главы Шушенского района </t>
  </si>
  <si>
    <t>0519146</t>
  </si>
  <si>
    <t>Развитие молодежного творчества, КВН - движения и креативных индустрий</t>
  </si>
  <si>
    <t>0519147</t>
  </si>
  <si>
    <t>Пропаганда семейных ценностей</t>
  </si>
  <si>
    <t>0519148</t>
  </si>
  <si>
    <t xml:space="preserve">Реализация мероприятий по трудовому воспитанию, организации летнего отдыха, оздоровления подростков и молодежи </t>
  </si>
  <si>
    <t>0519149</t>
  </si>
  <si>
    <t>Формирование здорового образа жизни у молодежи района</t>
  </si>
  <si>
    <t>0519150</t>
  </si>
  <si>
    <t>Информационное обеспечение молодежной политики</t>
  </si>
  <si>
    <t>0519151</t>
  </si>
  <si>
    <t>Укрепление материально - технической базы учреждений</t>
  </si>
  <si>
    <t>0519152</t>
  </si>
  <si>
    <t>Поддержка деятельности муниципальных молодежных центров, за счет средств районного бюджета</t>
  </si>
  <si>
    <t>0519214</t>
  </si>
  <si>
    <t>Подпрограмма 2. "Патриотическое воспитание молодежи Шушенского района"</t>
  </si>
  <si>
    <t>Развитие системы патриотического воспитания в рамках деятельности муниципальных молодежных центров</t>
  </si>
  <si>
    <t>0527454</t>
  </si>
  <si>
    <t>Развитие добровольчества в рамках деятельности муниципальных молодежных центров</t>
  </si>
  <si>
    <t>0527455</t>
  </si>
  <si>
    <t>Реализация мероприятий, проектов, программ, направленных на патриотическое воспитание подростков и молодежи</t>
  </si>
  <si>
    <t>0529153</t>
  </si>
  <si>
    <t>Реализация мероприятий по изучению истории Отечества и краеведению</t>
  </si>
  <si>
    <t>0529154</t>
  </si>
  <si>
    <t>Реализация мероприятий, проектов, программ по развитию добровольческого движения в районе</t>
  </si>
  <si>
    <t>0529155</t>
  </si>
  <si>
    <t>Развитие системы патриотического воспитания в рамках деятельности муниципальных молодежных центров, за счет средств районного бюджета</t>
  </si>
  <si>
    <t>0529230</t>
  </si>
  <si>
    <t>Развитие добровольчества в рамках деятельности муниципальных молодежных центров, за счет средств районного бюджета</t>
  </si>
  <si>
    <t>0529231</t>
  </si>
  <si>
    <t>Муниципальная программа  "Развитие физической культуры и спорта Шушенского района"</t>
  </si>
  <si>
    <t>в том числе по ГРБС:  Администрация Шушенского района</t>
  </si>
  <si>
    <t>0611021</t>
  </si>
  <si>
    <t>0611031</t>
  </si>
  <si>
    <t>Прочие мероприятия, осуществляемые за счет межбюджетных трансфертов прошлых лет из краевого бюджета, на оснащение муниципальных учреждений физкультурно-спортивной направленности спортивным инвентарем, оборудованием, спортивной одеждой и обувью</t>
  </si>
  <si>
    <t>1102</t>
  </si>
  <si>
    <t>0617789</t>
  </si>
  <si>
    <t>0619061</t>
  </si>
  <si>
    <t xml:space="preserve">Физкультурно - оздоровительная работа и спортивные мероприятия </t>
  </si>
  <si>
    <t>1101</t>
  </si>
  <si>
    <t>0619118</t>
  </si>
  <si>
    <t xml:space="preserve">Проведение ремонтных работ </t>
  </si>
  <si>
    <t>0619164</t>
  </si>
  <si>
    <t>Оснащение муниципальных учреждений физкультурно - спортивной направленности инвентарем, оборудованием, спортивной одеждой и обувью, за счет средств районного бюджета</t>
  </si>
  <si>
    <t>0619232</t>
  </si>
  <si>
    <t>Муниципальная программа "Защита населения и территорий Шушенского района от чрезвычайных ситуаций природного и техногенного характера"</t>
  </si>
  <si>
    <t>0309</t>
  </si>
  <si>
    <t>0719061</t>
  </si>
  <si>
    <t>муниципальная программа  "Развитие агропромышленного комплекса и сельских территорий Шушенского района"</t>
  </si>
  <si>
    <t xml:space="preserve">Расходы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t>
  </si>
  <si>
    <t>0405</t>
  </si>
  <si>
    <t>0812248</t>
  </si>
  <si>
    <t>Расходы на возмещение части процентной ставки по долгосрочным, среднесрочным и краткосрочным кредитам, взятым малыми формами хозяйствования за счет средств федерального бюджета</t>
  </si>
  <si>
    <t>0815055</t>
  </si>
  <si>
    <t>Проведение работ по уничтожению сорняков дикорастущей конопли</t>
  </si>
  <si>
    <t>0817451</t>
  </si>
  <si>
    <t>Выполнение отдельных государственных полномочий по решению вопросов поддержки сельскохозяйственного производства</t>
  </si>
  <si>
    <t>0817517</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</si>
  <si>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t>
  </si>
  <si>
    <t>0817518</t>
  </si>
  <si>
    <t>Организация, проведение районных конкурсов, выставок, трудовых соревнований в агропромышленном комплексе</t>
  </si>
  <si>
    <t>0819141</t>
  </si>
  <si>
    <t>Проведение работ по уничтожению сорняков дикорастущей конопли, за счет средств районного бюджета</t>
  </si>
  <si>
    <t>0819204</t>
  </si>
  <si>
    <t>муниципальная программа "Развитие транспортной системы"</t>
  </si>
  <si>
    <t>КУМИ</t>
  </si>
  <si>
    <t>163</t>
  </si>
  <si>
    <t xml:space="preserve"> Управление образования администрации Шушенского района</t>
  </si>
  <si>
    <t>Подпрограмма 1. "Дороги Шушенского района"</t>
  </si>
  <si>
    <t>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t>
  </si>
  <si>
    <t>0409</t>
  </si>
  <si>
    <t>0917508</t>
  </si>
  <si>
    <t>Содержание автомобильных дорог общего пользования местного значения муниципального образования "Шушенский район" за счет средств дорожного фонда Шушенского района</t>
  </si>
  <si>
    <t>0919137</t>
  </si>
  <si>
    <t>Подпрограмма 2. "Развитие транспортного комплекса"</t>
  </si>
  <si>
    <t>Предоставление субсидий организациям автомобильного пассажирского транспорта края на компенсацию расходов, возникающих в результате небольшой интенсивности пассажиропотоков по межмуниципальным маршрутам</t>
  </si>
  <si>
    <t>0408</t>
  </si>
  <si>
    <t>0929138</t>
  </si>
  <si>
    <t>Подпрограмма 3. "Безопасность дорожного движения в Шушенском районе"</t>
  </si>
  <si>
    <t>Приобретение и установка дорожных знаков на участках автодорог местного значения вблизи детского учреждения (школы), на проезжей части которых возможно появление детей</t>
  </si>
  <si>
    <t>0937491</t>
  </si>
  <si>
    <t>Проведение мероприятий и конкурсов, направленных на повышение безопасности дорожного движения среди детей и подростков района</t>
  </si>
  <si>
    <t>0314</t>
  </si>
  <si>
    <t>0939139</t>
  </si>
  <si>
    <t>Муниципальная программа  "Реформирование и модернизация жилищно - коммунального хозяйства и повышение энергетической эффективности"</t>
  </si>
  <si>
    <t>Отдел культуры администрации Шушенского района</t>
  </si>
  <si>
    <t>Подпрограмма 1. "Энергосбережение и повышение энергетической эффективности на территории Шушенского района"</t>
  </si>
  <si>
    <t>Мероприятия по проведению обязательных энергетических обследований муниципальных учреждений Красноярского края</t>
  </si>
  <si>
    <t>1017423</t>
  </si>
  <si>
    <t>Разработка схем теплоснабжения муниципальных образований Красноярского края</t>
  </si>
  <si>
    <t>0505</t>
  </si>
  <si>
    <t>1017424</t>
  </si>
  <si>
    <t>Разработка схем водоснабжения и водоотведения</t>
  </si>
  <si>
    <t>1019168</t>
  </si>
  <si>
    <t>540</t>
  </si>
  <si>
    <t>Дополнительные работы по замене ВЛ-0,4 кВ в жилой застройке МКК пгт Шушенское</t>
  </si>
  <si>
    <t>1019181</t>
  </si>
  <si>
    <t>Выполнение работ по проектированию узла учета тепловой энергии в муниципальном бюджетном учреждении культуры "Районный Дом культуры"</t>
  </si>
  <si>
    <t>1019182</t>
  </si>
  <si>
    <t xml:space="preserve">Ремонт водоснабжения в муниципальном бюджетном учреждении культуры "Районный Дом культуры" </t>
  </si>
  <si>
    <t>1019183</t>
  </si>
  <si>
    <t>Реализация мероприятий по проведению обязательных энергетических обследований в муниципальных учреждениях, за счет средств районного бюджета</t>
  </si>
  <si>
    <t>1019219</t>
  </si>
  <si>
    <t>Реализация мероприятий по разработке схем теплоснабжения, за счет средств районного бюджета</t>
  </si>
  <si>
    <t>1019220</t>
  </si>
  <si>
    <t xml:space="preserve">Подпрограмма 3. "Модернизация, реконструкция и капитальный ремонт объектов коммунальной инфраструктуры муниципального образования "Шушенский район" </t>
  </si>
  <si>
    <t>1039216</t>
  </si>
  <si>
    <t>Реализация временных мер поддержки населения в целях обеспечения доступности коммунальных услуг</t>
  </si>
  <si>
    <t>0502</t>
  </si>
  <si>
    <t>1027578</t>
  </si>
  <si>
    <t>Муниципальная программа  «Управление муниципальными финансами»</t>
  </si>
  <si>
    <t>в том числе по ГРБС: Финансовое управление администрации Шушенского района</t>
  </si>
  <si>
    <t>Подпрограмма 1. "Создание условий для эффективного и ответственного управления муниципальными финансами, повышения устойчивости бюджетов поселений Шушенского района, содействие повышению качества управления муниципальными финансами поселений района".</t>
  </si>
  <si>
    <t>Предоставление дотаций на выравнивание бюджетной обеспеченности поселений района из районного фонда финансовой поддержки за счет средств субвенции на реализацию государственных полномочий по расчету и предоставлению дотаций поселениям, входящим в состав муниципального района края</t>
  </si>
  <si>
    <t>Финансовое управление администрации Шушенского района</t>
  </si>
  <si>
    <t>090</t>
  </si>
  <si>
    <t>1401</t>
  </si>
  <si>
    <t>1117601</t>
  </si>
  <si>
    <t>Предоставление дотаций на выравнивание бюджетной обеспеченности поселений района из районного фонда финансовой поддержки за счет собственных средств районного бюджета</t>
  </si>
  <si>
    <t>1119134</t>
  </si>
  <si>
    <t>Предоставление межбюджетных трансфертов поселениям района на поддержку мер по обеспечению сбалансированности бюджетов поселений района</t>
  </si>
  <si>
    <t>1403</t>
  </si>
  <si>
    <t>1119135</t>
  </si>
  <si>
    <t>Предоставление поселениям района межбюджетных трансфертов в целях содействия достижению и (или) поощрения достижения наилучших значений показателей организации и осуществления бюджетного процесса в поселении</t>
  </si>
  <si>
    <t>1119136</t>
  </si>
  <si>
    <t>1129061</t>
  </si>
  <si>
    <t>Комплексная автоматизация процесса планирования районного бюджета, а также комплексная автоматизация процесса исполнения районного бюджета</t>
  </si>
  <si>
    <t>0106</t>
  </si>
  <si>
    <t>1129133</t>
  </si>
  <si>
    <t>Муниципальная программа  "Охрана окружающей среды, восроизводство природных ресурсов"</t>
  </si>
  <si>
    <t xml:space="preserve">Подпрограмма 1. "Использование и охрана водных ресурсов" </t>
  </si>
  <si>
    <t>Осуществление капитального ремонта гидротехнических сооружений, находящихся в муниципальной собственности, за счет средств федерального бюджета</t>
  </si>
  <si>
    <t>0406</t>
  </si>
  <si>
    <t>1215016</t>
  </si>
  <si>
    <t>Капитальный ремонт гидротехнических сооружений</t>
  </si>
  <si>
    <t>1217497</t>
  </si>
  <si>
    <t>Капитальный ремонт гидротехнических сооружений пруда "Иджинский " на реке Иджа с.Иджа Шушенского района, за счет средств районного бюджета</t>
  </si>
  <si>
    <t>1219210</t>
  </si>
  <si>
    <t>Капитальный ремонт гидротехнических сооружений инженерной защиты на р.Енисей п.г.т.Шушенское Шушенского района, за счет средств районного бюджета</t>
  </si>
  <si>
    <t>1219211</t>
  </si>
  <si>
    <t>Муниципальная программа «Создание условий для обеспечения доступным и комфортным жильем граждан Шушенского района»</t>
  </si>
  <si>
    <t>Подпрограмма 1. "Обеспечение жильем молодых семей в Шушенском районе"</t>
  </si>
  <si>
    <t>Реализация мероприятий по обеспечению жильем молодых семей ФЦП "Жилище" на 2011-2015 годы</t>
  </si>
  <si>
    <t>1325020</t>
  </si>
  <si>
    <t>Предоставление социальных выплат молодым семьям за счет средств краевого бюджета</t>
  </si>
  <si>
    <t>1327458</t>
  </si>
  <si>
    <t>1329142</t>
  </si>
  <si>
    <t>Подготовка генеральных планов городских и сельских поселений, на разработку проектов планировки и межевания земельных участков для жилого строительства, формирование и постановку земельных участков на кадастровый учет</t>
  </si>
  <si>
    <t>1337466</t>
  </si>
  <si>
    <t>Проект генерального плана Субботинского сельсовета</t>
  </si>
  <si>
    <t>1339143</t>
  </si>
  <si>
    <t>Строительство многоквартирных домов, реконструкция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мунципальных учреждений здравоохранения, образования, культуры, спорта, социальной защиты населения</t>
  </si>
  <si>
    <t>0501</t>
  </si>
  <si>
    <t>1347608</t>
  </si>
  <si>
    <t>Предоставление ежемесячной денежной компенсации расходов на оплату площади жилых помещений, занимаемых медицинскими работниками по договору найма (аренды)</t>
  </si>
  <si>
    <t>0909</t>
  </si>
  <si>
    <t>1349163</t>
  </si>
  <si>
    <t>"Развитие культуры Шушенского района"</t>
  </si>
  <si>
    <t>Подпрограмма 2</t>
  </si>
  <si>
    <t>Подпрограмма 3</t>
  </si>
  <si>
    <t>Подпрограмма 4</t>
  </si>
  <si>
    <t xml:space="preserve"> "Повышение качества жизни отдельных категорий граждан, в т.ч. инвалидов, степени их социальной защищенности"</t>
  </si>
  <si>
    <t>"Дополнительное образование в области культуры"</t>
  </si>
  <si>
    <t>"Искусство и народное творчество"</t>
  </si>
  <si>
    <t xml:space="preserve">  "Культурное наследие"</t>
  </si>
  <si>
    <t>"Система социальной защиты населения Шушенского района"</t>
  </si>
  <si>
    <t>Подпрограмма 5</t>
  </si>
  <si>
    <t xml:space="preserve"> "Социальная поддержка семей, имеющих детей" </t>
  </si>
  <si>
    <t xml:space="preserve"> "Обеспечение социальной поддержки граждан на оплату жилого помещения и коммунальных услуг" </t>
  </si>
  <si>
    <t>"Повышение качества и доступности социальных услуг населению"</t>
  </si>
  <si>
    <t>«Развитие малого и среднего предпринимательства на территории района»</t>
  </si>
  <si>
    <t>"Молодежь Шушенского района в XXI"</t>
  </si>
  <si>
    <t>"Патриотическое воспитание молодежи Шушенского района"</t>
  </si>
  <si>
    <t xml:space="preserve"> "Вовлечение молодежи Шушенского района в социальную практику"</t>
  </si>
  <si>
    <t xml:space="preserve"> "Развитие физической культуры и спорта Шушенского района"</t>
  </si>
  <si>
    <t xml:space="preserve"> "Защита населения и территорий Шушенского района от чрезвычайных ситуаций природного и техногенного характера"</t>
  </si>
  <si>
    <t xml:space="preserve"> "Развитие агропромышленного комплекса и сельских территорий Шушенского района"</t>
  </si>
  <si>
    <t>"Развитие транспортной системы"</t>
  </si>
  <si>
    <t>"Дороги Шушенского района"</t>
  </si>
  <si>
    <t>"Развитие транспортного комплекса"</t>
  </si>
  <si>
    <t>"Безопасность дорожного движения в Шушенском районе"</t>
  </si>
  <si>
    <t>дорожный фонд Красноярского края</t>
  </si>
  <si>
    <t>дорожный фонд Шушенского района</t>
  </si>
  <si>
    <t>"Реформирование и модернизация жилищно - коммунального хозяйства и повышение энергетической эффективности"</t>
  </si>
  <si>
    <t xml:space="preserve">"Модернизация, реконструкция и капитальный ремонт объектов коммунальной инфраструктуры муниципального образования "Шушенский район" </t>
  </si>
  <si>
    <t>"Энергосбережение и повышение энергетической эффективности на территории Шушенского района"</t>
  </si>
  <si>
    <t>«Управление муниципальными финансами»</t>
  </si>
  <si>
    <t xml:space="preserve"> "Обеспечение реализации муниципальной программы и прочие мероприятия"</t>
  </si>
  <si>
    <t xml:space="preserve"> "Создание условий для эффективного и ответственного управления муниципальными финансами, повышения устойчивости бюджетов поселений Шушенского района, содействие повышению качества управления муниципальными финансами поселений района".</t>
  </si>
  <si>
    <t xml:space="preserve"> "Охрана окружающей среды, восроизводство природных ресурсов"</t>
  </si>
  <si>
    <t xml:space="preserve"> "Использование и охрана водных ресурсов" </t>
  </si>
  <si>
    <t>«Создание условий для обеспечения доступным и комфортным жильем граждан Шушенского района»</t>
  </si>
  <si>
    <t>"Обеспечение жильем молодых семей в Шушенском районе"</t>
  </si>
  <si>
    <t>"Территориальное планирование, градостроительное зонирование и документация по планировке территории Шушенского района"</t>
  </si>
  <si>
    <t>Проведение знаковых культурно-массовых мероприятий поселка Шушенское</t>
  </si>
  <si>
    <t>Снижение количества обратившихся</t>
  </si>
  <si>
    <t>2014 (отчетный год)</t>
  </si>
  <si>
    <t>2015 (текущий год)</t>
  </si>
  <si>
    <t>611</t>
  </si>
  <si>
    <t>621</t>
  </si>
  <si>
    <t>Персональные выплаты, устанавливаемые в целях повышения оплаты труда молодым специалистам, персональные выплаты, устанавливаемые с учетом опыта работы при наличии ученой степени, почетного звания, нагрудного знака (значка)</t>
  </si>
  <si>
    <t>612</t>
  </si>
  <si>
    <t>611,612</t>
  </si>
  <si>
    <t>0115027</t>
  </si>
  <si>
    <t>0115097</t>
  </si>
  <si>
    <t>Расходы на создание в общеобразовательных организациях, расположенных в сельской местности, условий для занятий физической культурой и спортом за счет средств федерального бюджета</t>
  </si>
  <si>
    <t>621,622</t>
  </si>
  <si>
    <t>622</t>
  </si>
  <si>
    <t>0117544</t>
  </si>
  <si>
    <t>Средства на поощрение достижений наилучших значений показателей эффективности деятельности органов местного самоуправления городских округов и муниципальных районов</t>
  </si>
  <si>
    <t>612,622</t>
  </si>
  <si>
    <t>0119187</t>
  </si>
  <si>
    <t>244</t>
  </si>
  <si>
    <t>Оплата взносов на капитальный ремонт по помещениям в многоквартирных домах, стоящих на учете в казне муниципального образования "Шушенский район" или закрепленных за учреждениями на праве оперативного управления</t>
  </si>
  <si>
    <t>0119237</t>
  </si>
  <si>
    <t>0119239</t>
  </si>
  <si>
    <t>0119240</t>
  </si>
  <si>
    <t>243</t>
  </si>
  <si>
    <t>Расходы на проведение реконструкции или капитального ремонта зданий общеобразовательных учреждений Красноярского края, находящихся в аварийном состоянии, за счет средств районного бюджета</t>
  </si>
  <si>
    <t>Расходы на создание в общеобразовательных организациях, расположенных в сельской местности, условий для занятий физической культурой и спортом за счет средств районного бюджета</t>
  </si>
  <si>
    <t>Расходы на реализацию мероприятий государственной программы Российской Федерации "Доступная среда" на 2011-2015 годы за счет средств районного бюджета</t>
  </si>
  <si>
    <t>111</t>
  </si>
  <si>
    <t>121,122</t>
  </si>
  <si>
    <t>0127391</t>
  </si>
  <si>
    <t>Расходы на оснащение автобусов, осуществляющих перевозки учащихся в общеобразовательные организации, средствами контроля, обеспечивающими непрерывную, некорректируемую регистрацию информации о скорости и маршруте движения транспортных средств, о режиме труда и отдыха водителей транспортных средств (тахографами)</t>
  </si>
  <si>
    <t>Основное мероприятие 9</t>
  </si>
  <si>
    <t>851</t>
  </si>
  <si>
    <t>111,112</t>
  </si>
  <si>
    <t>851,852</t>
  </si>
  <si>
    <t>Основное мероприятие 10</t>
  </si>
  <si>
    <t>0129238</t>
  </si>
  <si>
    <t>Расходы на оснащение автобусов, осуществляющих перевозки учащихся в общеобразовательные организации, средствами контроля, обеспечивающими непрерывную, некорректируемую регистрацию информации о скорости и маршруте движения транспортных средств, о режиме труда и отдыха водителей транспортных средств (тахографами), за счет средств районного бюджета</t>
  </si>
  <si>
    <t>Основное мероприятие 11</t>
  </si>
  <si>
    <t>0129187</t>
  </si>
  <si>
    <t>0211031</t>
  </si>
  <si>
    <t>0215014</t>
  </si>
  <si>
    <t>0215144</t>
  </si>
  <si>
    <t>521</t>
  </si>
  <si>
    <t>денежные средства поступили 30.12.2015г.</t>
  </si>
  <si>
    <t>Реализация мероприятий федеральной целевой программы "Культура России (2012-2018 годы)"</t>
  </si>
  <si>
    <t>0215147</t>
  </si>
  <si>
    <t>Комплектование книжных фондов библиотек муниципальных образований края, за счет средств федерального бюджета</t>
  </si>
  <si>
    <t>0217744</t>
  </si>
  <si>
    <t>0219187</t>
  </si>
  <si>
    <t>0227480</t>
  </si>
  <si>
    <t>Расходы на организацию туристко-рекреационных зон на территории Красноярского края</t>
  </si>
  <si>
    <t>0227489</t>
  </si>
  <si>
    <t>522</t>
  </si>
  <si>
    <t>0227744</t>
  </si>
  <si>
    <t>Расходы на разработку и корректировку проектно-сметной документации, капитальный ремонт и реконструкцию зданий и помещений сельских учреждений культуры Красноярского края, в том числе включающие в себя выполнение мероприятий по обеспечению пожарной безопасности</t>
  </si>
  <si>
    <t>0229160</t>
  </si>
  <si>
    <t>Проведение мероприятий по созданию единого информационного и культурного пространства</t>
  </si>
  <si>
    <t>0229187</t>
  </si>
  <si>
    <t>0229241</t>
  </si>
  <si>
    <t>0229242</t>
  </si>
  <si>
    <t>денежные средства из краевого бюджета не поступили</t>
  </si>
  <si>
    <t>Расходы на организацию туристко-рекреационных зон на территории Красноярского края, за счет средств районного бюджета</t>
  </si>
  <si>
    <t>Софинансирование расходов на разработку и корректировку проектно-сметной документации, капитальный ремонт и реконструкцию зданий и помещений сельских учреждений культуры Красноярского края, в том числе включающие в себя выполнение мероприятий по обеспечению пожарной безопасности</t>
  </si>
  <si>
    <t>0239105</t>
  </si>
  <si>
    <t>0239187</t>
  </si>
  <si>
    <t>121</t>
  </si>
  <si>
    <t>853</t>
  </si>
  <si>
    <t>111,112,113</t>
  </si>
  <si>
    <t>Подпрограмма 1. "Повышение качества и доступности социальных услуг населению"</t>
  </si>
  <si>
    <t xml:space="preserve">Подпрограмма 2.  "Обеспечение своевременного и качественного исполнения переданных государственных полномочий по приему граждан, ведению базы данных получателей социальной помощи и организации социального обслуживания" </t>
  </si>
  <si>
    <t xml:space="preserve">Подпрограмма 3. "Обеспечение проведения социально значимых мероприятий для жителей Шушенского района" </t>
  </si>
  <si>
    <t>0310151</t>
  </si>
  <si>
    <t>0310275</t>
  </si>
  <si>
    <t>0327513</t>
  </si>
  <si>
    <t>851,853</t>
  </si>
  <si>
    <t>0331095</t>
  </si>
  <si>
    <t>0339203</t>
  </si>
  <si>
    <t>Обеспечение беспрепятственного доступа к муниципальным учреждениям социальной инфраструструктуры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t>
  </si>
  <si>
    <t>Мероприятия государственной программы Российской Федерации "Доступная среда" на 2011 - 2015 годы за счет средств федерального бюджета</t>
  </si>
  <si>
    <t>Мероприятия по обеспечению беспрепятственного доступа к муниципальным учреждениям социальной инфраструктуры</t>
  </si>
  <si>
    <t>0339115</t>
  </si>
  <si>
    <t>0337746</t>
  </si>
  <si>
    <t>0339100</t>
  </si>
  <si>
    <t>312</t>
  </si>
  <si>
    <t>0339165</t>
  </si>
  <si>
    <t>Субсидия Шушенской районной местной организации общероссийской общественной организации "Всероссийское общество инвалидов" на возмещение затрат, связанных с проведением социально значимых мероприятий для инвалидов</t>
  </si>
  <si>
    <t>0339176</t>
  </si>
  <si>
    <t>Обеспечение проведения социально значимых мероприятий для жителей Шушенского района</t>
  </si>
  <si>
    <t>0339177</t>
  </si>
  <si>
    <t>0339187</t>
  </si>
  <si>
    <t>0339223</t>
  </si>
  <si>
    <t>Осуществление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за счет средств районного бюджета</t>
  </si>
  <si>
    <t xml:space="preserve"> 058</t>
  </si>
  <si>
    <t>85т.р. на второго заявителя не освоены по причине его отказа участвовать в конкурсе</t>
  </si>
  <si>
    <t>0519235</t>
  </si>
  <si>
    <t>0519174</t>
  </si>
  <si>
    <t>Организация деятельности трудовых отрядов старшеклассников</t>
  </si>
  <si>
    <t>0519175</t>
  </si>
  <si>
    <t>Реализация мероприятий молодежной политики в рамках деятельности муниципальных молодежных штабов флагманских программ и инфраструктурных проектов</t>
  </si>
  <si>
    <t>0519173</t>
  </si>
  <si>
    <t>Конкурс районных молодежных проектов "Молодежная инициатива"</t>
  </si>
  <si>
    <t>0619235</t>
  </si>
  <si>
    <t>0729184</t>
  </si>
  <si>
    <t>Подпрограмма "Комплексные меры противодействия терроризму и экстремизму"</t>
  </si>
  <si>
    <t>Изготовление стендов "Нет терроризму! Нет экстремизму!"</t>
  </si>
  <si>
    <t>412</t>
  </si>
  <si>
    <t>0815018</t>
  </si>
  <si>
    <t>Реализация мероприятий федеральной целевой программы «Устойчивое развитие сельских территорий на 2014-2017 годы и на период до 2020 года» за счет федерального бюджета</t>
  </si>
  <si>
    <t>0817452</t>
  </si>
  <si>
    <t>Расходы по строительству (приобретению) жилья, предоставляемого молодым семьям и молодым специалистам по договору найма жилого помещения</t>
  </si>
  <si>
    <t>0819021</t>
  </si>
  <si>
    <t>0819140</t>
  </si>
  <si>
    <t>322</t>
  </si>
  <si>
    <t>Приобретение жилых помещений для предоставления молодым семьям и молодым специалистам (участникам программы) по договорам найма</t>
  </si>
  <si>
    <t>0829140</t>
  </si>
  <si>
    <t>Подпрограмма "Улучшение жилищных условий молодых семей и молодых специалистов в сельской местности"</t>
  </si>
  <si>
    <t>Основное мероприятие 12</t>
  </si>
  <si>
    <t>0917594</t>
  </si>
  <si>
    <t>Расходы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городских и сельских поселений за счет средств дорожного фонда Красноярского края</t>
  </si>
  <si>
    <t>0937492</t>
  </si>
  <si>
    <t>Обустройство пешеходных переходов и нанесение дорожной разметки на автомобильных дорогах общего пользования местного значения</t>
  </si>
  <si>
    <t>1037571</t>
  </si>
  <si>
    <t>Расходы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</si>
  <si>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 xml:space="preserve"> КУМИ</t>
  </si>
  <si>
    <t>1027570</t>
  </si>
  <si>
    <t>1027578 (1027570)</t>
  </si>
  <si>
    <t>511</t>
  </si>
  <si>
    <t>Подпрограмма 2. "Обеспечение реализации муниципальной программы и прочие мероприятия"</t>
  </si>
  <si>
    <t>243,244</t>
  </si>
  <si>
    <t>1219212</t>
  </si>
  <si>
    <t>Капитальный ремонт защитной дамбы на р. Енисей у с. Казанцево Шушенского района, за счет средств районного бюджета</t>
  </si>
  <si>
    <t>Подпрограмма 3. "Территориальное планирование, градостроительное зонирование и документация по планировке территории Шушенского района"</t>
  </si>
  <si>
    <t>Подпрограмма 2. "Переселение граждан из аварийного жилищного фонда в Красноярском крае"</t>
  </si>
  <si>
    <t>Предоставление социальных выплат молодым семьям</t>
  </si>
  <si>
    <t>1319178</t>
  </si>
  <si>
    <t>1319502</t>
  </si>
  <si>
    <t>414</t>
  </si>
  <si>
    <t>1319602</t>
  </si>
  <si>
    <t>Участие в долевом строительстве многоквартирных домов</t>
  </si>
  <si>
    <t>Обеспечение мероприятий по переселению граждан из аварийного жилищного фонда за счет средств , поступивших от государственной корпорации-Фонда содействия реформированию ЖКХ</t>
  </si>
  <si>
    <t>Обеспечение мероприятий по переселению граждан из аварийного жилищного фонда за счет средств бюджетов, направляемых на долевое финансирование</t>
  </si>
  <si>
    <t>2014 год</t>
  </si>
  <si>
    <t>2015 год</t>
  </si>
  <si>
    <t>0335027</t>
  </si>
  <si>
    <t>Мероприятие программы 9</t>
  </si>
  <si>
    <t>Мероприятие программы 10</t>
  </si>
  <si>
    <t>Мероприятие программы 11</t>
  </si>
  <si>
    <t xml:space="preserve"> "Повышение качества и доступности социальных услуг населению"</t>
  </si>
  <si>
    <t xml:space="preserve"> "Обеспечение своевременного и качественного исполнения переданных государственных полномочий по приему граждан, ведению базы данных получателей социальной помощи и организации социального обслуживания"</t>
  </si>
  <si>
    <t xml:space="preserve"> "Обеспечение проведения социально значимых мероприятий для жителей Шушенского района"</t>
  </si>
  <si>
    <t>Подпрограмма</t>
  </si>
  <si>
    <t>"Комплексные меры противодействия терроризму и экстремизму"</t>
  </si>
  <si>
    <t>Мероприятие программы 12</t>
  </si>
  <si>
    <t>"Улучшение жилищных условий молодых семей и молодых специалистов в сельской местности"</t>
  </si>
  <si>
    <t>"Переселение граждан из аварийного жилищного фонда в Красноярском крае"</t>
  </si>
  <si>
    <t>Фонд содействия реформированию ЖКХ</t>
  </si>
  <si>
    <t>экономия по торгам</t>
  </si>
  <si>
    <t xml:space="preserve">Основное мероприятие 4. </t>
  </si>
  <si>
    <t>Субсидии субъектам малого и (или) среднего предпринимательства на возмещение части затрат на уплату первого взноса (аванса) при заключентт договоров лизинга оборудования</t>
  </si>
  <si>
    <t>0419131</t>
  </si>
  <si>
    <t>Обучение специалистов для осуществления обслуживания гидротехнических сооружений</t>
  </si>
  <si>
    <t>1219124</t>
  </si>
  <si>
    <t>1219127</t>
  </si>
  <si>
    <t>Обязательное страхование гражданской ответственности за причинение вреда в результате аварии гидротехнического сооружения (ст. 15 ФЗ-117)</t>
  </si>
  <si>
    <t>Составление паспортов гидротехнических сооружений</t>
  </si>
  <si>
    <t>1219125</t>
  </si>
  <si>
    <t>1219128</t>
  </si>
  <si>
    <t>Составление декларации безопасности гидротехнического сооружения (документ, в котором обосновывается безопасность гидротехнического сооружения и определяются меры по обеспечению безопасности гидротехнического сооружения с учетом его класса)</t>
  </si>
  <si>
    <t>1219169</t>
  </si>
  <si>
    <t>Разработка общих правил и инструкции по эксплуатации гидротехнических сооружений</t>
  </si>
  <si>
    <t>1219170</t>
  </si>
  <si>
    <t>Разработка критериев безопасности гидротехнических сооружений</t>
  </si>
  <si>
    <t>1219171</t>
  </si>
  <si>
    <t>1219172</t>
  </si>
  <si>
    <t>Разработка мероприятий по предупреждению, локализации и ликвидации последствий ЧС в результате аварии на гидротехнических сооружениях</t>
  </si>
  <si>
    <t>Разработка мероприятий по обеспечению и повышению безопасности эксплуатации гидротехнических сооружений</t>
  </si>
  <si>
    <t>Денежные средства в сумме 2338,082т.р. из краевого бюджета поступили 30.12.2015г., остались на остатках, возвращены в краевой бюджет, работы будут оплачены в 2016 году. Средства в сумме 3,636т.р. из краевого бюджета не поступили.</t>
  </si>
  <si>
    <t>Работы выполнены в полном объеме, кредиторской задолженности нет.</t>
  </si>
  <si>
    <t>Недостаточность средств в бюджете. Кредиторская задолженность оплачена в январе 2016г.</t>
  </si>
  <si>
    <t>Низкая посещаемость детей ДОУ из-за заболеваемости</t>
  </si>
  <si>
    <t>Не верно указаны реквизиты п/п</t>
  </si>
  <si>
    <t>Плановое количество детей 1314 чел., фактическое 1136 чел.</t>
  </si>
  <si>
    <t>В соответствии с типовыми штатами ставка врача с количеством детей менее 80 человек во втором сезоне не вводилась, услуги по санитарно-эпидемиологической обстановке лагеря проводились только в первом сезоне, были запланированы два сезона.</t>
  </si>
  <si>
    <t>Был организован отдых и оздоровление 177 детей, но в связи с заболеванием, дети выбыли раньше  срока, средства субсидии израсходованы из расчета фактической посещаемости.</t>
  </si>
  <si>
    <t>Финансирование не в полном объеме.</t>
  </si>
  <si>
    <t>Не предоставлены счета-фактуры</t>
  </si>
  <si>
    <t>Финансирование не в полном объеме. Возмещение ФФС.</t>
  </si>
  <si>
    <t>Не предоставлены счета-фактуры.</t>
  </si>
  <si>
    <t>фактическое исполнение</t>
  </si>
  <si>
    <t>экономия на проживании в гостинице</t>
  </si>
  <si>
    <t>счета-фактуры не предоставлены</t>
  </si>
  <si>
    <t>В ходе выполнения работ были скорректированы объемы работ и заключено доп.соглашение с подрядчиком. Экономия по торгам.</t>
  </si>
  <si>
    <t>расторжение контракта</t>
  </si>
  <si>
    <t>Отчет об использовании бюджетных ассигнований на реализацию муниципальных программ Шушенского района</t>
  </si>
  <si>
    <t>(с расшифровкой по ответственным исполнителям, соисполнителям, подпрограммам и мероприятиям)</t>
  </si>
  <si>
    <t>Расходы, тыс. рублей</t>
  </si>
  <si>
    <t>сводная бюджетная роспись</t>
  </si>
  <si>
    <t>кассовое исполнение</t>
  </si>
  <si>
    <t>Руководитель</t>
  </si>
  <si>
    <t>управления планирования</t>
  </si>
  <si>
    <t>и экономического развития</t>
  </si>
  <si>
    <t>Мун О.Ф.</t>
  </si>
  <si>
    <t>Дрепак Иван Владимирович</t>
  </si>
  <si>
    <t>Телефон (39139) 3-15-51</t>
  </si>
  <si>
    <t>Отчет об использовании бюджетных ассигнований</t>
  </si>
  <si>
    <t>по источникам и направлениям расходования средств</t>
  </si>
  <si>
    <t>Объем финансирования, тыс.руб.</t>
  </si>
  <si>
    <t>текущий год</t>
  </si>
</sst>
</file>

<file path=xl/styles.xml><?xml version="1.0" encoding="utf-8"?>
<styleSheet xmlns="http://schemas.openxmlformats.org/spreadsheetml/2006/main">
  <numFmts count="1">
    <numFmt numFmtId="164" formatCode="#,##0.000"/>
  </numFmts>
  <fonts count="16">
    <font>
      <sz val="11"/>
      <color theme="1"/>
      <name val="Calibri"/>
      <family val="2"/>
      <charset val="204"/>
      <scheme val="minor"/>
    </font>
    <font>
      <sz val="12"/>
      <name val="Times New Roman"/>
      <family val="1"/>
      <charset val="204"/>
    </font>
    <font>
      <sz val="11"/>
      <name val="Times New Roman"/>
      <family val="1"/>
      <charset val="204"/>
    </font>
    <font>
      <sz val="10"/>
      <name val="Times New Roman"/>
      <family val="1"/>
      <charset val="204"/>
    </font>
    <font>
      <sz val="9"/>
      <name val="Times New Roman"/>
      <family val="1"/>
      <charset val="204"/>
    </font>
    <font>
      <b/>
      <sz val="9"/>
      <name val="Times New Roman"/>
      <family val="1"/>
      <charset val="204"/>
    </font>
    <font>
      <b/>
      <sz val="10"/>
      <name val="Arial Cyr"/>
      <charset val="204"/>
    </font>
    <font>
      <b/>
      <sz val="10"/>
      <name val="Times New Roman"/>
      <family val="1"/>
      <charset val="204"/>
    </font>
    <font>
      <sz val="10"/>
      <name val="Arial Cyr"/>
      <charset val="204"/>
    </font>
    <font>
      <b/>
      <sz val="11"/>
      <color theme="1"/>
      <name val="Calibri"/>
      <family val="2"/>
      <charset val="204"/>
      <scheme val="minor"/>
    </font>
    <font>
      <sz val="8"/>
      <color theme="1"/>
      <name val="Calibri"/>
      <family val="2"/>
      <charset val="204"/>
      <scheme val="minor"/>
    </font>
    <font>
      <sz val="10"/>
      <name val="Times New Roman"/>
      <family val="1"/>
    </font>
    <font>
      <b/>
      <sz val="12"/>
      <name val="Times New Roman"/>
      <family val="1"/>
      <charset val="204"/>
    </font>
    <font>
      <sz val="9"/>
      <color rgb="FFFF0000"/>
      <name val="Times New Roman"/>
      <family val="1"/>
      <charset val="204"/>
    </font>
    <font>
      <sz val="12"/>
      <color indexed="8"/>
      <name val="Times New Roman"/>
      <family val="1"/>
      <charset val="204"/>
    </font>
    <font>
      <sz val="10"/>
      <color indexed="8"/>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5" tint="0.59999389629810485"/>
        <bgColor indexed="64"/>
      </patternFill>
    </fill>
    <fill>
      <patternFill patternType="solid">
        <fgColor theme="7"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84">
    <xf numFmtId="0" fontId="0" fillId="0" borderId="0" xfId="0"/>
    <xf numFmtId="0" fontId="1" fillId="0" borderId="0" xfId="0" applyFont="1" applyAlignment="1">
      <alignment horizontal="left" wrapText="1"/>
    </xf>
    <xf numFmtId="0" fontId="1" fillId="0" borderId="0" xfId="0" applyFont="1" applyAlignment="1">
      <alignment horizontal="right" wrapText="1"/>
    </xf>
    <xf numFmtId="0" fontId="4" fillId="0" borderId="1" xfId="0" applyFont="1" applyBorder="1" applyAlignment="1">
      <alignment horizontal="center" vertical="center" wrapText="1"/>
    </xf>
    <xf numFmtId="0" fontId="3" fillId="0" borderId="1" xfId="0" applyFont="1" applyBorder="1" applyAlignment="1">
      <alignment vertical="top" wrapText="1"/>
    </xf>
    <xf numFmtId="0" fontId="4" fillId="0" borderId="1" xfId="0" applyFont="1" applyBorder="1" applyAlignment="1">
      <alignment vertical="center" wrapText="1"/>
    </xf>
    <xf numFmtId="0" fontId="6" fillId="0" borderId="1" xfId="0" applyFont="1" applyBorder="1"/>
    <xf numFmtId="0" fontId="4" fillId="0" borderId="1" xfId="0" applyFont="1" applyBorder="1" applyAlignment="1">
      <alignment wrapText="1"/>
    </xf>
    <xf numFmtId="0" fontId="0" fillId="0" borderId="1" xfId="0" applyBorder="1"/>
    <xf numFmtId="0" fontId="3" fillId="0" borderId="2"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vertical="top" wrapText="1"/>
    </xf>
    <xf numFmtId="49" fontId="0" fillId="0" borderId="0" xfId="0" applyNumberFormat="1"/>
    <xf numFmtId="164" fontId="0" fillId="0" borderId="0" xfId="0" applyNumberFormat="1"/>
    <xf numFmtId="0" fontId="0" fillId="0" borderId="0" xfId="0" applyAlignment="1">
      <alignment horizontal="right"/>
    </xf>
    <xf numFmtId="0" fontId="3" fillId="0" borderId="0" xfId="0" applyFont="1"/>
    <xf numFmtId="164" fontId="3" fillId="0" borderId="1" xfId="0" applyNumberFormat="1" applyFont="1" applyBorder="1" applyAlignment="1">
      <alignment horizontal="center" vertical="center" wrapText="1"/>
    </xf>
    <xf numFmtId="0" fontId="3" fillId="2" borderId="1" xfId="0" applyFont="1" applyFill="1" applyBorder="1" applyAlignment="1">
      <alignment vertical="top" wrapText="1"/>
    </xf>
    <xf numFmtId="49" fontId="3" fillId="2" borderId="1" xfId="0" applyNumberFormat="1" applyFont="1" applyFill="1" applyBorder="1" applyAlignment="1">
      <alignment vertical="top"/>
    </xf>
    <xf numFmtId="164" fontId="3" fillId="2" borderId="1" xfId="0" applyNumberFormat="1" applyFont="1" applyFill="1" applyBorder="1"/>
    <xf numFmtId="164" fontId="7" fillId="2" borderId="1" xfId="0" applyNumberFormat="1" applyFont="1" applyFill="1" applyBorder="1"/>
    <xf numFmtId="0" fontId="3" fillId="2" borderId="1" xfId="0" applyFont="1" applyFill="1" applyBorder="1"/>
    <xf numFmtId="0" fontId="3" fillId="2" borderId="0" xfId="0" applyFont="1" applyFill="1"/>
    <xf numFmtId="49" fontId="3" fillId="0" borderId="1" xfId="0" applyNumberFormat="1" applyFont="1" applyBorder="1" applyAlignment="1">
      <alignment horizontal="center" vertical="top"/>
    </xf>
    <xf numFmtId="49" fontId="3" fillId="0" borderId="1" xfId="0" applyNumberFormat="1" applyFont="1" applyBorder="1" applyAlignment="1">
      <alignment vertical="top"/>
    </xf>
    <xf numFmtId="164" fontId="3" fillId="0" borderId="1" xfId="0" applyNumberFormat="1" applyFont="1" applyBorder="1"/>
    <xf numFmtId="49" fontId="3" fillId="2" borderId="1" xfId="0" applyNumberFormat="1" applyFont="1" applyFill="1" applyBorder="1" applyAlignment="1">
      <alignment horizontal="center" vertical="top"/>
    </xf>
    <xf numFmtId="0" fontId="3" fillId="0" borderId="2" xfId="0" applyFont="1" applyBorder="1" applyAlignment="1">
      <alignment vertical="top" wrapText="1"/>
    </xf>
    <xf numFmtId="0" fontId="3" fillId="0" borderId="3" xfId="0" applyFont="1" applyBorder="1" applyAlignment="1">
      <alignment vertical="top" wrapText="1"/>
    </xf>
    <xf numFmtId="0" fontId="3" fillId="0" borderId="1" xfId="0" applyFont="1" applyBorder="1" applyAlignment="1">
      <alignment vertical="top" wrapText="1"/>
    </xf>
    <xf numFmtId="164" fontId="4" fillId="0" borderId="1" xfId="0" applyNumberFormat="1" applyFont="1" applyBorder="1" applyAlignment="1">
      <alignment horizontal="center" vertical="center" wrapText="1"/>
    </xf>
    <xf numFmtId="164" fontId="6" fillId="0" borderId="1" xfId="0" applyNumberFormat="1" applyFont="1" applyBorder="1"/>
    <xf numFmtId="164" fontId="0" fillId="0" borderId="1" xfId="0" applyNumberFormat="1" applyBorder="1"/>
    <xf numFmtId="164" fontId="8" fillId="0" borderId="1" xfId="0" applyNumberFormat="1" applyFont="1" applyBorder="1"/>
    <xf numFmtId="164" fontId="5" fillId="0" borderId="1" xfId="0" applyNumberFormat="1" applyFont="1" applyBorder="1" applyAlignment="1">
      <alignment vertical="center" wrapText="1"/>
    </xf>
    <xf numFmtId="0" fontId="3" fillId="0" borderId="1" xfId="0" applyFont="1" applyBorder="1" applyAlignment="1">
      <alignment vertical="top" wrapText="1"/>
    </xf>
    <xf numFmtId="164" fontId="9" fillId="0" borderId="1" xfId="0" applyNumberFormat="1" applyFont="1" applyBorder="1"/>
    <xf numFmtId="164" fontId="4" fillId="0" borderId="1" xfId="0" applyNumberFormat="1" applyFont="1" applyBorder="1" applyAlignment="1">
      <alignment horizontal="center" vertical="center" wrapText="1"/>
    </xf>
    <xf numFmtId="164" fontId="5" fillId="0" borderId="1" xfId="0" applyNumberFormat="1" applyFont="1" applyBorder="1" applyAlignment="1">
      <alignment horizontal="center" vertical="center" wrapText="1"/>
    </xf>
    <xf numFmtId="164" fontId="0" fillId="0" borderId="1" xfId="0" applyNumberFormat="1" applyFont="1" applyBorder="1"/>
    <xf numFmtId="0" fontId="4" fillId="0" borderId="1" xfId="0" applyFont="1" applyBorder="1" applyAlignment="1">
      <alignment horizontal="center" vertical="center" wrapText="1"/>
    </xf>
    <xf numFmtId="164" fontId="4" fillId="0" borderId="1" xfId="0" applyNumberFormat="1" applyFont="1" applyBorder="1" applyAlignment="1">
      <alignment horizontal="center" vertical="center" wrapText="1"/>
    </xf>
    <xf numFmtId="164" fontId="4" fillId="0" borderId="1" xfId="0" applyNumberFormat="1" applyFont="1" applyBorder="1" applyAlignment="1">
      <alignment vertical="center" wrapText="1"/>
    </xf>
    <xf numFmtId="164" fontId="10" fillId="0" borderId="0" xfId="0" applyNumberFormat="1" applyFont="1"/>
    <xf numFmtId="0" fontId="11" fillId="0" borderId="0" xfId="0" applyFont="1" applyAlignment="1">
      <alignment vertical="center"/>
    </xf>
    <xf numFmtId="0" fontId="3" fillId="0" borderId="2" xfId="0" applyFont="1" applyBorder="1" applyAlignment="1">
      <alignment horizontal="left" vertical="top" wrapText="1"/>
    </xf>
    <xf numFmtId="0" fontId="3" fillId="0" borderId="1" xfId="0" applyFont="1" applyBorder="1" applyAlignment="1">
      <alignment vertical="top" wrapText="1"/>
    </xf>
    <xf numFmtId="0" fontId="3" fillId="0" borderId="1" xfId="0" applyFont="1" applyBorder="1" applyAlignment="1">
      <alignment horizontal="left" vertical="top" wrapText="1"/>
    </xf>
    <xf numFmtId="0" fontId="3" fillId="0" borderId="1" xfId="0" applyFont="1" applyBorder="1" applyAlignment="1">
      <alignmen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2" borderId="1" xfId="0" applyFont="1" applyFill="1" applyBorder="1" applyAlignment="1">
      <alignment vertical="top" wrapText="1"/>
    </xf>
    <xf numFmtId="0" fontId="3" fillId="0" borderId="1" xfId="0" applyFont="1" applyBorder="1" applyAlignment="1">
      <alignment vertical="top" wrapText="1"/>
    </xf>
    <xf numFmtId="0" fontId="7" fillId="2" borderId="1" xfId="0" applyFont="1" applyFill="1" applyBorder="1" applyAlignment="1">
      <alignment vertical="top" wrapText="1"/>
    </xf>
    <xf numFmtId="0" fontId="3" fillId="0" borderId="2" xfId="0" applyFont="1" applyBorder="1" applyAlignment="1">
      <alignment vertical="top" wrapText="1"/>
    </xf>
    <xf numFmtId="0" fontId="3" fillId="2" borderId="1" xfId="0" applyFont="1" applyFill="1" applyBorder="1" applyAlignment="1">
      <alignment vertical="top" wrapText="1"/>
    </xf>
    <xf numFmtId="49" fontId="3" fillId="0" borderId="1" xfId="0" applyNumberFormat="1" applyFont="1" applyBorder="1" applyAlignment="1">
      <alignment vertical="top" wrapText="1"/>
    </xf>
    <xf numFmtId="164" fontId="3" fillId="3" borderId="1" xfId="0" applyNumberFormat="1" applyFont="1" applyFill="1" applyBorder="1"/>
    <xf numFmtId="49" fontId="3" fillId="0" borderId="1" xfId="0" applyNumberFormat="1" applyFont="1" applyBorder="1" applyAlignment="1">
      <alignment horizontal="center" vertical="top" wrapText="1"/>
    </xf>
    <xf numFmtId="49" fontId="3" fillId="3" borderId="1" xfId="0" applyNumberFormat="1" applyFont="1" applyFill="1" applyBorder="1" applyAlignment="1">
      <alignment vertical="top"/>
    </xf>
    <xf numFmtId="0" fontId="3" fillId="3" borderId="1" xfId="0" applyFont="1" applyFill="1" applyBorder="1" applyAlignment="1">
      <alignment vertical="top" wrapText="1"/>
    </xf>
    <xf numFmtId="49" fontId="3" fillId="3" borderId="1" xfId="0" applyNumberFormat="1" applyFont="1" applyFill="1" applyBorder="1" applyAlignment="1">
      <alignment horizontal="center" vertical="top"/>
    </xf>
    <xf numFmtId="0" fontId="3" fillId="3" borderId="0" xfId="0" applyFont="1" applyFill="1"/>
    <xf numFmtId="0" fontId="1" fillId="3" borderId="1" xfId="0" applyFont="1" applyFill="1" applyBorder="1" applyAlignment="1">
      <alignment vertical="top" wrapText="1"/>
    </xf>
    <xf numFmtId="49" fontId="1" fillId="3" borderId="1" xfId="0" applyNumberFormat="1" applyFont="1" applyFill="1" applyBorder="1" applyAlignment="1">
      <alignment horizontal="center" vertical="top"/>
    </xf>
    <xf numFmtId="49" fontId="1" fillId="3" borderId="1" xfId="0" applyNumberFormat="1" applyFont="1" applyFill="1" applyBorder="1" applyAlignment="1">
      <alignment vertical="top"/>
    </xf>
    <xf numFmtId="164" fontId="1" fillId="3" borderId="1" xfId="0" applyNumberFormat="1" applyFont="1" applyFill="1" applyBorder="1"/>
    <xf numFmtId="0" fontId="1" fillId="3" borderId="0" xfId="0" applyFont="1" applyFill="1"/>
    <xf numFmtId="0" fontId="3" fillId="0" borderId="1" xfId="0" applyFont="1" applyBorder="1" applyAlignment="1">
      <alignment vertical="top" wrapText="1"/>
    </xf>
    <xf numFmtId="164" fontId="4" fillId="0" borderId="1" xfId="0" applyNumberFormat="1"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vertical="top" wrapText="1"/>
    </xf>
    <xf numFmtId="0" fontId="3" fillId="0" borderId="1" xfId="0" applyFont="1" applyBorder="1" applyAlignment="1">
      <alignment vertical="top" wrapText="1"/>
    </xf>
    <xf numFmtId="0" fontId="4" fillId="0" borderId="1" xfId="0" applyFont="1" applyBorder="1" applyAlignment="1">
      <alignment horizontal="left" vertical="center"/>
    </xf>
    <xf numFmtId="0" fontId="4" fillId="3" borderId="1" xfId="0" applyFont="1" applyFill="1" applyBorder="1" applyAlignment="1">
      <alignment horizontal="left" vertical="center"/>
    </xf>
    <xf numFmtId="0" fontId="4" fillId="3" borderId="1" xfId="0" applyFont="1" applyFill="1" applyBorder="1" applyAlignment="1">
      <alignment horizontal="left" vertical="center" wrapText="1"/>
    </xf>
    <xf numFmtId="0" fontId="4" fillId="2" borderId="1" xfId="0" applyFont="1" applyFill="1" applyBorder="1" applyAlignment="1">
      <alignment horizontal="left" vertical="center"/>
    </xf>
    <xf numFmtId="49" fontId="4" fillId="0" borderId="1" xfId="0" applyNumberFormat="1" applyFont="1" applyBorder="1" applyAlignment="1">
      <alignment horizontal="left" vertical="center" wrapText="1"/>
    </xf>
    <xf numFmtId="0" fontId="4" fillId="0" borderId="1" xfId="0" applyFont="1" applyBorder="1" applyAlignment="1">
      <alignment horizontal="left" vertical="center" wrapText="1"/>
    </xf>
    <xf numFmtId="0" fontId="4" fillId="3" borderId="2" xfId="0" applyFont="1" applyFill="1" applyBorder="1" applyAlignment="1">
      <alignment horizontal="left" vertical="center" wrapText="1"/>
    </xf>
    <xf numFmtId="0" fontId="13" fillId="3" borderId="1" xfId="0" applyFont="1" applyFill="1" applyBorder="1" applyAlignment="1">
      <alignment horizontal="left" vertical="center"/>
    </xf>
    <xf numFmtId="49" fontId="4" fillId="3" borderId="1" xfId="0" applyNumberFormat="1" applyFont="1" applyFill="1" applyBorder="1" applyAlignment="1">
      <alignment horizontal="left" vertical="center" wrapText="1"/>
    </xf>
    <xf numFmtId="0" fontId="3" fillId="0" borderId="1" xfId="0" applyFont="1" applyBorder="1" applyAlignment="1">
      <alignmen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2" xfId="0" applyFont="1" applyBorder="1" applyAlignment="1">
      <alignment vertical="top" wrapText="1"/>
    </xf>
    <xf numFmtId="0" fontId="3" fillId="0" borderId="3" xfId="0" applyFont="1" applyBorder="1" applyAlignment="1">
      <alignment vertical="top" wrapText="1"/>
    </xf>
    <xf numFmtId="164" fontId="3" fillId="0" borderId="1" xfId="0" applyNumberFormat="1" applyFont="1" applyBorder="1" applyAlignment="1">
      <alignment horizontal="center" vertical="center" wrapText="1"/>
    </xf>
    <xf numFmtId="0" fontId="3" fillId="0" borderId="1" xfId="0" applyFont="1" applyBorder="1" applyAlignment="1">
      <alignment horizontal="left" vertical="top" wrapText="1"/>
    </xf>
    <xf numFmtId="0" fontId="3" fillId="4" borderId="1" xfId="0" applyFont="1" applyFill="1" applyBorder="1" applyAlignment="1">
      <alignment vertical="top" wrapText="1"/>
    </xf>
    <xf numFmtId="49" fontId="3" fillId="4" borderId="1" xfId="0" applyNumberFormat="1" applyFont="1" applyFill="1" applyBorder="1" applyAlignment="1">
      <alignment vertical="top"/>
    </xf>
    <xf numFmtId="164" fontId="7" fillId="4" borderId="1" xfId="0" applyNumberFormat="1" applyFont="1" applyFill="1" applyBorder="1"/>
    <xf numFmtId="0" fontId="3" fillId="0" borderId="0" xfId="0" applyFont="1" applyFill="1"/>
    <xf numFmtId="164" fontId="3" fillId="4" borderId="1" xfId="0" applyNumberFormat="1" applyFont="1" applyFill="1" applyBorder="1"/>
    <xf numFmtId="49" fontId="3" fillId="4" borderId="1" xfId="0" applyNumberFormat="1" applyFont="1" applyFill="1" applyBorder="1" applyAlignment="1">
      <alignment horizontal="center" vertical="top"/>
    </xf>
    <xf numFmtId="0" fontId="3" fillId="0" borderId="1" xfId="0" applyFont="1" applyFill="1" applyBorder="1" applyAlignment="1">
      <alignment vertical="top" wrapText="1"/>
    </xf>
    <xf numFmtId="49" fontId="3" fillId="0" borderId="1" xfId="0" applyNumberFormat="1" applyFont="1" applyFill="1" applyBorder="1" applyAlignment="1">
      <alignment horizontal="center" vertical="top"/>
    </xf>
    <xf numFmtId="49" fontId="3" fillId="0" borderId="1" xfId="0" applyNumberFormat="1" applyFont="1" applyFill="1" applyBorder="1" applyAlignment="1">
      <alignment vertical="top"/>
    </xf>
    <xf numFmtId="164" fontId="3" fillId="0" borderId="1" xfId="0" applyNumberFormat="1" applyFont="1" applyFill="1" applyBorder="1"/>
    <xf numFmtId="0" fontId="7" fillId="4" borderId="1" xfId="0" applyFont="1" applyFill="1" applyBorder="1" applyAlignment="1">
      <alignment vertical="top" wrapText="1"/>
    </xf>
    <xf numFmtId="0" fontId="14" fillId="0" borderId="0" xfId="0" applyFont="1"/>
    <xf numFmtId="0" fontId="1" fillId="0" borderId="0" xfId="0" applyFont="1" applyAlignment="1">
      <alignment vertical="center"/>
    </xf>
    <xf numFmtId="0" fontId="15" fillId="0" borderId="0" xfId="0" applyFont="1"/>
    <xf numFmtId="164" fontId="14" fillId="0" borderId="0" xfId="0" applyNumberFormat="1" applyFont="1"/>
    <xf numFmtId="164" fontId="3" fillId="5" borderId="1" xfId="0" applyNumberFormat="1" applyFont="1" applyFill="1" applyBorder="1"/>
    <xf numFmtId="0" fontId="3" fillId="0" borderId="1" xfId="0" applyFont="1" applyBorder="1" applyAlignment="1">
      <alignment vertical="top" wrapText="1"/>
    </xf>
    <xf numFmtId="0" fontId="3" fillId="0" borderId="1" xfId="0" applyFont="1" applyBorder="1" applyAlignment="1">
      <alignment horizontal="center" vertical="top" wrapText="1"/>
    </xf>
    <xf numFmtId="0" fontId="7" fillId="0" borderId="1" xfId="0" applyFont="1" applyBorder="1" applyAlignment="1">
      <alignment horizontal="center"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0" fontId="7" fillId="0" borderId="5" xfId="0" applyFont="1" applyBorder="1" applyAlignment="1">
      <alignment horizontal="center" vertical="top" wrapText="1"/>
    </xf>
    <xf numFmtId="0" fontId="7" fillId="0" borderId="6" xfId="0" applyFont="1" applyBorder="1" applyAlignment="1">
      <alignment horizontal="center" vertical="top" wrapText="1"/>
    </xf>
    <xf numFmtId="0" fontId="0" fillId="0" borderId="0" xfId="0" applyAlignment="1">
      <alignment horizontal="center"/>
    </xf>
    <xf numFmtId="0" fontId="4" fillId="0" borderId="1" xfId="0" applyFont="1" applyBorder="1" applyAlignment="1">
      <alignment horizontal="center" vertical="center" wrapText="1"/>
    </xf>
    <xf numFmtId="0" fontId="3" fillId="3" borderId="2" xfId="0" applyFont="1" applyFill="1" applyBorder="1" applyAlignment="1">
      <alignment horizontal="left" vertical="top" wrapText="1"/>
    </xf>
    <xf numFmtId="0" fontId="3" fillId="3" borderId="3" xfId="0" applyFont="1" applyFill="1" applyBorder="1" applyAlignment="1">
      <alignment horizontal="left" vertical="top" wrapText="1"/>
    </xf>
    <xf numFmtId="0" fontId="3" fillId="3" borderId="4" xfId="0" applyFont="1" applyFill="1" applyBorder="1" applyAlignment="1">
      <alignment horizontal="left" vertical="top" wrapText="1"/>
    </xf>
    <xf numFmtId="0" fontId="3" fillId="0" borderId="1" xfId="0" applyFont="1" applyBorder="1" applyAlignment="1">
      <alignment horizontal="center" vertical="center" wrapText="1"/>
    </xf>
    <xf numFmtId="164" fontId="4" fillId="0" borderId="1" xfId="0" applyNumberFormat="1" applyFont="1" applyBorder="1" applyAlignment="1">
      <alignment horizontal="center"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3" fillId="0" borderId="2" xfId="0" applyFont="1"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0" fillId="0" borderId="4" xfId="0" applyBorder="1" applyAlignment="1">
      <alignment horizontal="left" vertical="top" wrapText="1"/>
    </xf>
    <xf numFmtId="0" fontId="0" fillId="0" borderId="3" xfId="0" applyBorder="1" applyAlignment="1">
      <alignment horizontal="left" vertical="top" wrapText="1"/>
    </xf>
    <xf numFmtId="0" fontId="3" fillId="0" borderId="1" xfId="0" applyFont="1" applyBorder="1" applyAlignment="1">
      <alignment horizontal="left" vertical="top" wrapText="1"/>
    </xf>
    <xf numFmtId="0" fontId="7" fillId="2" borderId="1" xfId="0" applyFont="1" applyFill="1" applyBorder="1" applyAlignment="1">
      <alignment vertical="top" wrapText="1"/>
    </xf>
    <xf numFmtId="0" fontId="3" fillId="2" borderId="1" xfId="0" applyFont="1" applyFill="1" applyBorder="1" applyAlignment="1">
      <alignment vertical="top" wrapText="1"/>
    </xf>
    <xf numFmtId="0" fontId="3" fillId="0" borderId="3" xfId="0" applyFont="1" applyBorder="1" applyAlignment="1">
      <alignment vertical="top" wrapText="1"/>
    </xf>
    <xf numFmtId="0" fontId="7" fillId="2" borderId="2" xfId="0" applyFont="1" applyFill="1" applyBorder="1" applyAlignment="1">
      <alignment vertical="top" wrapText="1"/>
    </xf>
    <xf numFmtId="0" fontId="7" fillId="2" borderId="3" xfId="0" applyFont="1" applyFill="1" applyBorder="1" applyAlignment="1">
      <alignment vertical="top" wrapText="1"/>
    </xf>
    <xf numFmtId="0" fontId="7" fillId="2" borderId="4" xfId="0" applyFont="1" applyFill="1" applyBorder="1" applyAlignment="1">
      <alignment vertical="top" wrapText="1"/>
    </xf>
    <xf numFmtId="0" fontId="3" fillId="2" borderId="2" xfId="0" applyFont="1" applyFill="1" applyBorder="1" applyAlignment="1">
      <alignment vertical="top" wrapText="1"/>
    </xf>
    <xf numFmtId="0" fontId="3" fillId="2" borderId="3" xfId="0" applyFont="1" applyFill="1" applyBorder="1" applyAlignment="1">
      <alignment vertical="top" wrapText="1"/>
    </xf>
    <xf numFmtId="0" fontId="3" fillId="2" borderId="4" xfId="0" applyFont="1" applyFill="1" applyBorder="1" applyAlignment="1">
      <alignment vertical="top" wrapText="1"/>
    </xf>
    <xf numFmtId="0" fontId="1"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center" wrapText="1"/>
    </xf>
    <xf numFmtId="49" fontId="3" fillId="0" borderId="1" xfId="0" applyNumberFormat="1" applyFont="1" applyBorder="1" applyAlignment="1">
      <alignment horizontal="center" vertical="center" wrapText="1"/>
    </xf>
    <xf numFmtId="164"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wrapText="1"/>
    </xf>
    <xf numFmtId="0" fontId="12" fillId="2" borderId="5" xfId="0" applyFont="1" applyFill="1" applyBorder="1" applyAlignment="1">
      <alignment horizontal="center" vertical="top" wrapText="1"/>
    </xf>
    <xf numFmtId="0" fontId="12" fillId="2" borderId="6" xfId="0" applyFont="1" applyFill="1" applyBorder="1" applyAlignment="1">
      <alignment horizontal="center" vertical="top" wrapText="1"/>
    </xf>
    <xf numFmtId="0" fontId="7" fillId="2" borderId="7" xfId="0" applyFont="1" applyFill="1" applyBorder="1" applyAlignment="1">
      <alignment horizontal="left" vertical="top" wrapText="1"/>
    </xf>
    <xf numFmtId="0" fontId="7" fillId="2" borderId="8" xfId="0" applyFont="1" applyFill="1" applyBorder="1" applyAlignment="1">
      <alignment horizontal="left" vertical="top" wrapText="1"/>
    </xf>
    <xf numFmtId="0" fontId="7" fillId="2" borderId="9" xfId="0" applyFont="1" applyFill="1" applyBorder="1" applyAlignment="1">
      <alignment horizontal="left" vertical="top" wrapText="1"/>
    </xf>
    <xf numFmtId="0" fontId="3" fillId="2" borderId="1" xfId="0" applyFont="1" applyFill="1" applyBorder="1" applyAlignment="1">
      <alignment horizontal="center" vertical="top" wrapText="1"/>
    </xf>
    <xf numFmtId="0" fontId="7" fillId="2" borderId="2" xfId="0" applyFont="1" applyFill="1" applyBorder="1" applyAlignment="1">
      <alignment horizontal="left" vertical="top" wrapText="1"/>
    </xf>
    <xf numFmtId="0" fontId="7" fillId="2" borderId="3" xfId="0" applyFont="1" applyFill="1" applyBorder="1" applyAlignment="1">
      <alignment horizontal="left" vertical="top" wrapText="1"/>
    </xf>
    <xf numFmtId="0" fontId="7" fillId="2" borderId="4" xfId="0" applyFont="1" applyFill="1" applyBorder="1" applyAlignment="1">
      <alignment horizontal="left" vertical="top" wrapText="1"/>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164" fontId="3" fillId="0" borderId="7" xfId="0" applyNumberFormat="1" applyFont="1" applyBorder="1" applyAlignment="1">
      <alignment horizontal="center" vertical="center" wrapText="1"/>
    </xf>
    <xf numFmtId="164" fontId="3" fillId="0" borderId="10" xfId="0" applyNumberFormat="1" applyFont="1" applyBorder="1" applyAlignment="1">
      <alignment horizontal="center" vertical="center" wrapText="1"/>
    </xf>
    <xf numFmtId="164" fontId="3" fillId="0" borderId="8" xfId="0" applyNumberFormat="1" applyFont="1" applyBorder="1" applyAlignment="1">
      <alignment horizontal="center" vertical="center" wrapText="1"/>
    </xf>
    <xf numFmtId="164" fontId="3" fillId="0" borderId="11" xfId="0" applyNumberFormat="1" applyFont="1" applyBorder="1" applyAlignment="1">
      <alignment horizontal="center" vertical="center" wrapText="1"/>
    </xf>
    <xf numFmtId="164" fontId="3" fillId="0" borderId="9" xfId="0" applyNumberFormat="1" applyFont="1" applyBorder="1" applyAlignment="1">
      <alignment horizontal="center" vertical="center" wrapText="1"/>
    </xf>
    <xf numFmtId="164" fontId="3" fillId="0" borderId="12" xfId="0" applyNumberFormat="1" applyFont="1" applyBorder="1" applyAlignment="1">
      <alignment horizontal="center" vertical="center" wrapText="1"/>
    </xf>
    <xf numFmtId="0" fontId="7" fillId="4" borderId="1" xfId="0" applyFont="1" applyFill="1" applyBorder="1" applyAlignment="1">
      <alignment vertical="top" wrapText="1"/>
    </xf>
    <xf numFmtId="0" fontId="3" fillId="4" borderId="1" xfId="0" applyFont="1" applyFill="1" applyBorder="1" applyAlignment="1">
      <alignment vertical="top" wrapText="1"/>
    </xf>
    <xf numFmtId="0" fontId="7" fillId="4" borderId="7" xfId="0" applyFont="1" applyFill="1" applyBorder="1" applyAlignment="1">
      <alignment horizontal="left" vertical="top" wrapText="1"/>
    </xf>
    <xf numFmtId="0" fontId="7" fillId="4" borderId="8" xfId="0" applyFont="1" applyFill="1" applyBorder="1" applyAlignment="1">
      <alignment horizontal="left" vertical="top" wrapText="1"/>
    </xf>
    <xf numFmtId="0" fontId="7" fillId="4" borderId="9" xfId="0" applyFont="1" applyFill="1" applyBorder="1" applyAlignment="1">
      <alignment horizontal="left" vertical="top" wrapText="1"/>
    </xf>
    <xf numFmtId="0" fontId="3" fillId="4" borderId="1" xfId="0" applyFont="1" applyFill="1" applyBorder="1" applyAlignment="1">
      <alignment horizontal="center" vertical="top" wrapText="1"/>
    </xf>
    <xf numFmtId="0" fontId="7" fillId="4" borderId="2" xfId="0" applyFont="1" applyFill="1" applyBorder="1" applyAlignment="1">
      <alignment horizontal="left" vertical="top" wrapText="1"/>
    </xf>
    <xf numFmtId="0" fontId="7" fillId="4" borderId="3" xfId="0" applyFont="1" applyFill="1" applyBorder="1" applyAlignment="1">
      <alignment horizontal="left" vertical="top" wrapText="1"/>
    </xf>
    <xf numFmtId="0" fontId="7" fillId="4" borderId="4" xfId="0" applyFont="1" applyFill="1" applyBorder="1" applyAlignment="1">
      <alignment horizontal="left" vertical="top" wrapText="1"/>
    </xf>
    <xf numFmtId="0" fontId="3" fillId="4" borderId="2" xfId="0" applyFont="1" applyFill="1" applyBorder="1" applyAlignment="1">
      <alignment horizontal="center" vertical="top" wrapText="1"/>
    </xf>
    <xf numFmtId="0" fontId="3" fillId="4" borderId="3" xfId="0" applyFont="1" applyFill="1" applyBorder="1" applyAlignment="1">
      <alignment horizontal="center" vertical="top" wrapText="1"/>
    </xf>
    <xf numFmtId="0" fontId="3" fillId="4" borderId="4" xfId="0" applyFont="1" applyFill="1" applyBorder="1" applyAlignment="1">
      <alignment horizontal="center" vertical="top" wrapText="1"/>
    </xf>
    <xf numFmtId="0" fontId="7" fillId="4" borderId="2" xfId="0" applyFont="1" applyFill="1" applyBorder="1" applyAlignment="1">
      <alignment vertical="top" wrapText="1"/>
    </xf>
    <xf numFmtId="0" fontId="7" fillId="4" borderId="3" xfId="0" applyFont="1" applyFill="1" applyBorder="1" applyAlignment="1">
      <alignment vertical="top" wrapText="1"/>
    </xf>
    <xf numFmtId="0" fontId="7" fillId="4" borderId="4" xfId="0" applyFont="1" applyFill="1" applyBorder="1" applyAlignment="1">
      <alignment vertical="top" wrapText="1"/>
    </xf>
    <xf numFmtId="0" fontId="3" fillId="4" borderId="2" xfId="0" applyFont="1" applyFill="1" applyBorder="1" applyAlignment="1">
      <alignment vertical="top" wrapText="1"/>
    </xf>
    <xf numFmtId="0" fontId="3" fillId="4" borderId="3" xfId="0" applyFont="1" applyFill="1" applyBorder="1" applyAlignment="1">
      <alignment vertical="top" wrapText="1"/>
    </xf>
    <xf numFmtId="0" fontId="3" fillId="4" borderId="4" xfId="0" applyFont="1" applyFill="1" applyBorder="1" applyAlignment="1">
      <alignmen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P672"/>
  <sheetViews>
    <sheetView workbookViewId="0">
      <selection sqref="A1:M1"/>
    </sheetView>
  </sheetViews>
  <sheetFormatPr defaultRowHeight="14.4"/>
  <cols>
    <col min="1" max="1" width="14.88671875" customWidth="1"/>
    <col min="2" max="2" width="29.5546875" customWidth="1"/>
    <col min="3" max="3" width="27.33203125" customWidth="1"/>
    <col min="4" max="4" width="12.33203125" hidden="1" customWidth="1"/>
    <col min="5" max="11" width="11.6640625" hidden="1" customWidth="1"/>
    <col min="12" max="12" width="13.44140625" style="13" customWidth="1"/>
    <col min="13" max="13" width="14.109375" style="13" customWidth="1"/>
    <col min="14" max="15" width="11.44140625" hidden="1" customWidth="1"/>
    <col min="16" max="16" width="34.5546875" hidden="1" customWidth="1"/>
    <col min="17" max="18" width="0" hidden="1" customWidth="1"/>
    <col min="257" max="257" width="14.88671875" customWidth="1"/>
    <col min="258" max="258" width="29.5546875" customWidth="1"/>
    <col min="259" max="259" width="27.33203125" customWidth="1"/>
    <col min="260" max="271" width="6.5546875" customWidth="1"/>
    <col min="272" max="272" width="34.5546875" customWidth="1"/>
    <col min="513" max="513" width="14.88671875" customWidth="1"/>
    <col min="514" max="514" width="29.5546875" customWidth="1"/>
    <col min="515" max="515" width="27.33203125" customWidth="1"/>
    <col min="516" max="527" width="6.5546875" customWidth="1"/>
    <col min="528" max="528" width="34.5546875" customWidth="1"/>
    <col min="769" max="769" width="14.88671875" customWidth="1"/>
    <col min="770" max="770" width="29.5546875" customWidth="1"/>
    <col min="771" max="771" width="27.33203125" customWidth="1"/>
    <col min="772" max="783" width="6.5546875" customWidth="1"/>
    <col min="784" max="784" width="34.5546875" customWidth="1"/>
    <col min="1025" max="1025" width="14.88671875" customWidth="1"/>
    <col min="1026" max="1026" width="29.5546875" customWidth="1"/>
    <col min="1027" max="1027" width="27.33203125" customWidth="1"/>
    <col min="1028" max="1039" width="6.5546875" customWidth="1"/>
    <col min="1040" max="1040" width="34.5546875" customWidth="1"/>
    <col min="1281" max="1281" width="14.88671875" customWidth="1"/>
    <col min="1282" max="1282" width="29.5546875" customWidth="1"/>
    <col min="1283" max="1283" width="27.33203125" customWidth="1"/>
    <col min="1284" max="1295" width="6.5546875" customWidth="1"/>
    <col min="1296" max="1296" width="34.5546875" customWidth="1"/>
    <col min="1537" max="1537" width="14.88671875" customWidth="1"/>
    <col min="1538" max="1538" width="29.5546875" customWidth="1"/>
    <col min="1539" max="1539" width="27.33203125" customWidth="1"/>
    <col min="1540" max="1551" width="6.5546875" customWidth="1"/>
    <col min="1552" max="1552" width="34.5546875" customWidth="1"/>
    <col min="1793" max="1793" width="14.88671875" customWidth="1"/>
    <col min="1794" max="1794" width="29.5546875" customWidth="1"/>
    <col min="1795" max="1795" width="27.33203125" customWidth="1"/>
    <col min="1796" max="1807" width="6.5546875" customWidth="1"/>
    <col min="1808" max="1808" width="34.5546875" customWidth="1"/>
    <col min="2049" max="2049" width="14.88671875" customWidth="1"/>
    <col min="2050" max="2050" width="29.5546875" customWidth="1"/>
    <col min="2051" max="2051" width="27.33203125" customWidth="1"/>
    <col min="2052" max="2063" width="6.5546875" customWidth="1"/>
    <col min="2064" max="2064" width="34.5546875" customWidth="1"/>
    <col min="2305" max="2305" width="14.88671875" customWidth="1"/>
    <col min="2306" max="2306" width="29.5546875" customWidth="1"/>
    <col min="2307" max="2307" width="27.33203125" customWidth="1"/>
    <col min="2308" max="2319" width="6.5546875" customWidth="1"/>
    <col min="2320" max="2320" width="34.5546875" customWidth="1"/>
    <col min="2561" max="2561" width="14.88671875" customWidth="1"/>
    <col min="2562" max="2562" width="29.5546875" customWidth="1"/>
    <col min="2563" max="2563" width="27.33203125" customWidth="1"/>
    <col min="2564" max="2575" width="6.5546875" customWidth="1"/>
    <col min="2576" max="2576" width="34.5546875" customWidth="1"/>
    <col min="2817" max="2817" width="14.88671875" customWidth="1"/>
    <col min="2818" max="2818" width="29.5546875" customWidth="1"/>
    <col min="2819" max="2819" width="27.33203125" customWidth="1"/>
    <col min="2820" max="2831" width="6.5546875" customWidth="1"/>
    <col min="2832" max="2832" width="34.5546875" customWidth="1"/>
    <col min="3073" max="3073" width="14.88671875" customWidth="1"/>
    <col min="3074" max="3074" width="29.5546875" customWidth="1"/>
    <col min="3075" max="3075" width="27.33203125" customWidth="1"/>
    <col min="3076" max="3087" width="6.5546875" customWidth="1"/>
    <col min="3088" max="3088" width="34.5546875" customWidth="1"/>
    <col min="3329" max="3329" width="14.88671875" customWidth="1"/>
    <col min="3330" max="3330" width="29.5546875" customWidth="1"/>
    <col min="3331" max="3331" width="27.33203125" customWidth="1"/>
    <col min="3332" max="3343" width="6.5546875" customWidth="1"/>
    <col min="3344" max="3344" width="34.5546875" customWidth="1"/>
    <col min="3585" max="3585" width="14.88671875" customWidth="1"/>
    <col min="3586" max="3586" width="29.5546875" customWidth="1"/>
    <col min="3587" max="3587" width="27.33203125" customWidth="1"/>
    <col min="3588" max="3599" width="6.5546875" customWidth="1"/>
    <col min="3600" max="3600" width="34.5546875" customWidth="1"/>
    <col min="3841" max="3841" width="14.88671875" customWidth="1"/>
    <col min="3842" max="3842" width="29.5546875" customWidth="1"/>
    <col min="3843" max="3843" width="27.33203125" customWidth="1"/>
    <col min="3844" max="3855" width="6.5546875" customWidth="1"/>
    <col min="3856" max="3856" width="34.5546875" customWidth="1"/>
    <col min="4097" max="4097" width="14.88671875" customWidth="1"/>
    <col min="4098" max="4098" width="29.5546875" customWidth="1"/>
    <col min="4099" max="4099" width="27.33203125" customWidth="1"/>
    <col min="4100" max="4111" width="6.5546875" customWidth="1"/>
    <col min="4112" max="4112" width="34.5546875" customWidth="1"/>
    <col min="4353" max="4353" width="14.88671875" customWidth="1"/>
    <col min="4354" max="4354" width="29.5546875" customWidth="1"/>
    <col min="4355" max="4355" width="27.33203125" customWidth="1"/>
    <col min="4356" max="4367" width="6.5546875" customWidth="1"/>
    <col min="4368" max="4368" width="34.5546875" customWidth="1"/>
    <col min="4609" max="4609" width="14.88671875" customWidth="1"/>
    <col min="4610" max="4610" width="29.5546875" customWidth="1"/>
    <col min="4611" max="4611" width="27.33203125" customWidth="1"/>
    <col min="4612" max="4623" width="6.5546875" customWidth="1"/>
    <col min="4624" max="4624" width="34.5546875" customWidth="1"/>
    <col min="4865" max="4865" width="14.88671875" customWidth="1"/>
    <col min="4866" max="4866" width="29.5546875" customWidth="1"/>
    <col min="4867" max="4867" width="27.33203125" customWidth="1"/>
    <col min="4868" max="4879" width="6.5546875" customWidth="1"/>
    <col min="4880" max="4880" width="34.5546875" customWidth="1"/>
    <col min="5121" max="5121" width="14.88671875" customWidth="1"/>
    <col min="5122" max="5122" width="29.5546875" customWidth="1"/>
    <col min="5123" max="5123" width="27.33203125" customWidth="1"/>
    <col min="5124" max="5135" width="6.5546875" customWidth="1"/>
    <col min="5136" max="5136" width="34.5546875" customWidth="1"/>
    <col min="5377" max="5377" width="14.88671875" customWidth="1"/>
    <col min="5378" max="5378" width="29.5546875" customWidth="1"/>
    <col min="5379" max="5379" width="27.33203125" customWidth="1"/>
    <col min="5380" max="5391" width="6.5546875" customWidth="1"/>
    <col min="5392" max="5392" width="34.5546875" customWidth="1"/>
    <col min="5633" max="5633" width="14.88671875" customWidth="1"/>
    <col min="5634" max="5634" width="29.5546875" customWidth="1"/>
    <col min="5635" max="5635" width="27.33203125" customWidth="1"/>
    <col min="5636" max="5647" width="6.5546875" customWidth="1"/>
    <col min="5648" max="5648" width="34.5546875" customWidth="1"/>
    <col min="5889" max="5889" width="14.88671875" customWidth="1"/>
    <col min="5890" max="5890" width="29.5546875" customWidth="1"/>
    <col min="5891" max="5891" width="27.33203125" customWidth="1"/>
    <col min="5892" max="5903" width="6.5546875" customWidth="1"/>
    <col min="5904" max="5904" width="34.5546875" customWidth="1"/>
    <col min="6145" max="6145" width="14.88671875" customWidth="1"/>
    <col min="6146" max="6146" width="29.5546875" customWidth="1"/>
    <col min="6147" max="6147" width="27.33203125" customWidth="1"/>
    <col min="6148" max="6159" width="6.5546875" customWidth="1"/>
    <col min="6160" max="6160" width="34.5546875" customWidth="1"/>
    <col min="6401" max="6401" width="14.88671875" customWidth="1"/>
    <col min="6402" max="6402" width="29.5546875" customWidth="1"/>
    <col min="6403" max="6403" width="27.33203125" customWidth="1"/>
    <col min="6404" max="6415" width="6.5546875" customWidth="1"/>
    <col min="6416" max="6416" width="34.5546875" customWidth="1"/>
    <col min="6657" max="6657" width="14.88671875" customWidth="1"/>
    <col min="6658" max="6658" width="29.5546875" customWidth="1"/>
    <col min="6659" max="6659" width="27.33203125" customWidth="1"/>
    <col min="6660" max="6671" width="6.5546875" customWidth="1"/>
    <col min="6672" max="6672" width="34.5546875" customWidth="1"/>
    <col min="6913" max="6913" width="14.88671875" customWidth="1"/>
    <col min="6914" max="6914" width="29.5546875" customWidth="1"/>
    <col min="6915" max="6915" width="27.33203125" customWidth="1"/>
    <col min="6916" max="6927" width="6.5546875" customWidth="1"/>
    <col min="6928" max="6928" width="34.5546875" customWidth="1"/>
    <col min="7169" max="7169" width="14.88671875" customWidth="1"/>
    <col min="7170" max="7170" width="29.5546875" customWidth="1"/>
    <col min="7171" max="7171" width="27.33203125" customWidth="1"/>
    <col min="7172" max="7183" width="6.5546875" customWidth="1"/>
    <col min="7184" max="7184" width="34.5546875" customWidth="1"/>
    <col min="7425" max="7425" width="14.88671875" customWidth="1"/>
    <col min="7426" max="7426" width="29.5546875" customWidth="1"/>
    <col min="7427" max="7427" width="27.33203125" customWidth="1"/>
    <col min="7428" max="7439" width="6.5546875" customWidth="1"/>
    <col min="7440" max="7440" width="34.5546875" customWidth="1"/>
    <col min="7681" max="7681" width="14.88671875" customWidth="1"/>
    <col min="7682" max="7682" width="29.5546875" customWidth="1"/>
    <col min="7683" max="7683" width="27.33203125" customWidth="1"/>
    <col min="7684" max="7695" width="6.5546875" customWidth="1"/>
    <col min="7696" max="7696" width="34.5546875" customWidth="1"/>
    <col min="7937" max="7937" width="14.88671875" customWidth="1"/>
    <col min="7938" max="7938" width="29.5546875" customWidth="1"/>
    <col min="7939" max="7939" width="27.33203125" customWidth="1"/>
    <col min="7940" max="7951" width="6.5546875" customWidth="1"/>
    <col min="7952" max="7952" width="34.5546875" customWidth="1"/>
    <col min="8193" max="8193" width="14.88671875" customWidth="1"/>
    <col min="8194" max="8194" width="29.5546875" customWidth="1"/>
    <col min="8195" max="8195" width="27.33203125" customWidth="1"/>
    <col min="8196" max="8207" width="6.5546875" customWidth="1"/>
    <col min="8208" max="8208" width="34.5546875" customWidth="1"/>
    <col min="8449" max="8449" width="14.88671875" customWidth="1"/>
    <col min="8450" max="8450" width="29.5546875" customWidth="1"/>
    <col min="8451" max="8451" width="27.33203125" customWidth="1"/>
    <col min="8452" max="8463" width="6.5546875" customWidth="1"/>
    <col min="8464" max="8464" width="34.5546875" customWidth="1"/>
    <col min="8705" max="8705" width="14.88671875" customWidth="1"/>
    <col min="8706" max="8706" width="29.5546875" customWidth="1"/>
    <col min="8707" max="8707" width="27.33203125" customWidth="1"/>
    <col min="8708" max="8719" width="6.5546875" customWidth="1"/>
    <col min="8720" max="8720" width="34.5546875" customWidth="1"/>
    <col min="8961" max="8961" width="14.88671875" customWidth="1"/>
    <col min="8962" max="8962" width="29.5546875" customWidth="1"/>
    <col min="8963" max="8963" width="27.33203125" customWidth="1"/>
    <col min="8964" max="8975" width="6.5546875" customWidth="1"/>
    <col min="8976" max="8976" width="34.5546875" customWidth="1"/>
    <col min="9217" max="9217" width="14.88671875" customWidth="1"/>
    <col min="9218" max="9218" width="29.5546875" customWidth="1"/>
    <col min="9219" max="9219" width="27.33203125" customWidth="1"/>
    <col min="9220" max="9231" width="6.5546875" customWidth="1"/>
    <col min="9232" max="9232" width="34.5546875" customWidth="1"/>
    <col min="9473" max="9473" width="14.88671875" customWidth="1"/>
    <col min="9474" max="9474" width="29.5546875" customWidth="1"/>
    <col min="9475" max="9475" width="27.33203125" customWidth="1"/>
    <col min="9476" max="9487" width="6.5546875" customWidth="1"/>
    <col min="9488" max="9488" width="34.5546875" customWidth="1"/>
    <col min="9729" max="9729" width="14.88671875" customWidth="1"/>
    <col min="9730" max="9730" width="29.5546875" customWidth="1"/>
    <col min="9731" max="9731" width="27.33203125" customWidth="1"/>
    <col min="9732" max="9743" width="6.5546875" customWidth="1"/>
    <col min="9744" max="9744" width="34.5546875" customWidth="1"/>
    <col min="9985" max="9985" width="14.88671875" customWidth="1"/>
    <col min="9986" max="9986" width="29.5546875" customWidth="1"/>
    <col min="9987" max="9987" width="27.33203125" customWidth="1"/>
    <col min="9988" max="9999" width="6.5546875" customWidth="1"/>
    <col min="10000" max="10000" width="34.5546875" customWidth="1"/>
    <col min="10241" max="10241" width="14.88671875" customWidth="1"/>
    <col min="10242" max="10242" width="29.5546875" customWidth="1"/>
    <col min="10243" max="10243" width="27.33203125" customWidth="1"/>
    <col min="10244" max="10255" width="6.5546875" customWidth="1"/>
    <col min="10256" max="10256" width="34.5546875" customWidth="1"/>
    <col min="10497" max="10497" width="14.88671875" customWidth="1"/>
    <col min="10498" max="10498" width="29.5546875" customWidth="1"/>
    <col min="10499" max="10499" width="27.33203125" customWidth="1"/>
    <col min="10500" max="10511" width="6.5546875" customWidth="1"/>
    <col min="10512" max="10512" width="34.5546875" customWidth="1"/>
    <col min="10753" max="10753" width="14.88671875" customWidth="1"/>
    <col min="10754" max="10754" width="29.5546875" customWidth="1"/>
    <col min="10755" max="10755" width="27.33203125" customWidth="1"/>
    <col min="10756" max="10767" width="6.5546875" customWidth="1"/>
    <col min="10768" max="10768" width="34.5546875" customWidth="1"/>
    <col min="11009" max="11009" width="14.88671875" customWidth="1"/>
    <col min="11010" max="11010" width="29.5546875" customWidth="1"/>
    <col min="11011" max="11011" width="27.33203125" customWidth="1"/>
    <col min="11012" max="11023" width="6.5546875" customWidth="1"/>
    <col min="11024" max="11024" width="34.5546875" customWidth="1"/>
    <col min="11265" max="11265" width="14.88671875" customWidth="1"/>
    <col min="11266" max="11266" width="29.5546875" customWidth="1"/>
    <col min="11267" max="11267" width="27.33203125" customWidth="1"/>
    <col min="11268" max="11279" width="6.5546875" customWidth="1"/>
    <col min="11280" max="11280" width="34.5546875" customWidth="1"/>
    <col min="11521" max="11521" width="14.88671875" customWidth="1"/>
    <col min="11522" max="11522" width="29.5546875" customWidth="1"/>
    <col min="11523" max="11523" width="27.33203125" customWidth="1"/>
    <col min="11524" max="11535" width="6.5546875" customWidth="1"/>
    <col min="11536" max="11536" width="34.5546875" customWidth="1"/>
    <col min="11777" max="11777" width="14.88671875" customWidth="1"/>
    <col min="11778" max="11778" width="29.5546875" customWidth="1"/>
    <col min="11779" max="11779" width="27.33203125" customWidth="1"/>
    <col min="11780" max="11791" width="6.5546875" customWidth="1"/>
    <col min="11792" max="11792" width="34.5546875" customWidth="1"/>
    <col min="12033" max="12033" width="14.88671875" customWidth="1"/>
    <col min="12034" max="12034" width="29.5546875" customWidth="1"/>
    <col min="12035" max="12035" width="27.33203125" customWidth="1"/>
    <col min="12036" max="12047" width="6.5546875" customWidth="1"/>
    <col min="12048" max="12048" width="34.5546875" customWidth="1"/>
    <col min="12289" max="12289" width="14.88671875" customWidth="1"/>
    <col min="12290" max="12290" width="29.5546875" customWidth="1"/>
    <col min="12291" max="12291" width="27.33203125" customWidth="1"/>
    <col min="12292" max="12303" width="6.5546875" customWidth="1"/>
    <col min="12304" max="12304" width="34.5546875" customWidth="1"/>
    <col min="12545" max="12545" width="14.88671875" customWidth="1"/>
    <col min="12546" max="12546" width="29.5546875" customWidth="1"/>
    <col min="12547" max="12547" width="27.33203125" customWidth="1"/>
    <col min="12548" max="12559" width="6.5546875" customWidth="1"/>
    <col min="12560" max="12560" width="34.5546875" customWidth="1"/>
    <col min="12801" max="12801" width="14.88671875" customWidth="1"/>
    <col min="12802" max="12802" width="29.5546875" customWidth="1"/>
    <col min="12803" max="12803" width="27.33203125" customWidth="1"/>
    <col min="12804" max="12815" width="6.5546875" customWidth="1"/>
    <col min="12816" max="12816" width="34.5546875" customWidth="1"/>
    <col min="13057" max="13057" width="14.88671875" customWidth="1"/>
    <col min="13058" max="13058" width="29.5546875" customWidth="1"/>
    <col min="13059" max="13059" width="27.33203125" customWidth="1"/>
    <col min="13060" max="13071" width="6.5546875" customWidth="1"/>
    <col min="13072" max="13072" width="34.5546875" customWidth="1"/>
    <col min="13313" max="13313" width="14.88671875" customWidth="1"/>
    <col min="13314" max="13314" width="29.5546875" customWidth="1"/>
    <col min="13315" max="13315" width="27.33203125" customWidth="1"/>
    <col min="13316" max="13327" width="6.5546875" customWidth="1"/>
    <col min="13328" max="13328" width="34.5546875" customWidth="1"/>
    <col min="13569" max="13569" width="14.88671875" customWidth="1"/>
    <col min="13570" max="13570" width="29.5546875" customWidth="1"/>
    <col min="13571" max="13571" width="27.33203125" customWidth="1"/>
    <col min="13572" max="13583" width="6.5546875" customWidth="1"/>
    <col min="13584" max="13584" width="34.5546875" customWidth="1"/>
    <col min="13825" max="13825" width="14.88671875" customWidth="1"/>
    <col min="13826" max="13826" width="29.5546875" customWidth="1"/>
    <col min="13827" max="13827" width="27.33203125" customWidth="1"/>
    <col min="13828" max="13839" width="6.5546875" customWidth="1"/>
    <col min="13840" max="13840" width="34.5546875" customWidth="1"/>
    <col min="14081" max="14081" width="14.88671875" customWidth="1"/>
    <col min="14082" max="14082" width="29.5546875" customWidth="1"/>
    <col min="14083" max="14083" width="27.33203125" customWidth="1"/>
    <col min="14084" max="14095" width="6.5546875" customWidth="1"/>
    <col min="14096" max="14096" width="34.5546875" customWidth="1"/>
    <col min="14337" max="14337" width="14.88671875" customWidth="1"/>
    <col min="14338" max="14338" width="29.5546875" customWidth="1"/>
    <col min="14339" max="14339" width="27.33203125" customWidth="1"/>
    <col min="14340" max="14351" width="6.5546875" customWidth="1"/>
    <col min="14352" max="14352" width="34.5546875" customWidth="1"/>
    <col min="14593" max="14593" width="14.88671875" customWidth="1"/>
    <col min="14594" max="14594" width="29.5546875" customWidth="1"/>
    <col min="14595" max="14595" width="27.33203125" customWidth="1"/>
    <col min="14596" max="14607" width="6.5546875" customWidth="1"/>
    <col min="14608" max="14608" width="34.5546875" customWidth="1"/>
    <col min="14849" max="14849" width="14.88671875" customWidth="1"/>
    <col min="14850" max="14850" width="29.5546875" customWidth="1"/>
    <col min="14851" max="14851" width="27.33203125" customWidth="1"/>
    <col min="14852" max="14863" width="6.5546875" customWidth="1"/>
    <col min="14864" max="14864" width="34.5546875" customWidth="1"/>
    <col min="15105" max="15105" width="14.88671875" customWidth="1"/>
    <col min="15106" max="15106" width="29.5546875" customWidth="1"/>
    <col min="15107" max="15107" width="27.33203125" customWidth="1"/>
    <col min="15108" max="15119" width="6.5546875" customWidth="1"/>
    <col min="15120" max="15120" width="34.5546875" customWidth="1"/>
    <col min="15361" max="15361" width="14.88671875" customWidth="1"/>
    <col min="15362" max="15362" width="29.5546875" customWidth="1"/>
    <col min="15363" max="15363" width="27.33203125" customWidth="1"/>
    <col min="15364" max="15375" width="6.5546875" customWidth="1"/>
    <col min="15376" max="15376" width="34.5546875" customWidth="1"/>
    <col min="15617" max="15617" width="14.88671875" customWidth="1"/>
    <col min="15618" max="15618" width="29.5546875" customWidth="1"/>
    <col min="15619" max="15619" width="27.33203125" customWidth="1"/>
    <col min="15620" max="15631" width="6.5546875" customWidth="1"/>
    <col min="15632" max="15632" width="34.5546875" customWidth="1"/>
    <col min="15873" max="15873" width="14.88671875" customWidth="1"/>
    <col min="15874" max="15874" width="29.5546875" customWidth="1"/>
    <col min="15875" max="15875" width="27.33203125" customWidth="1"/>
    <col min="15876" max="15887" width="6.5546875" customWidth="1"/>
    <col min="15888" max="15888" width="34.5546875" customWidth="1"/>
    <col min="16129" max="16129" width="14.88671875" customWidth="1"/>
    <col min="16130" max="16130" width="29.5546875" customWidth="1"/>
    <col min="16131" max="16131" width="27.33203125" customWidth="1"/>
    <col min="16132" max="16143" width="6.5546875" customWidth="1"/>
    <col min="16144" max="16144" width="34.5546875" customWidth="1"/>
  </cols>
  <sheetData>
    <row r="1" spans="1:16">
      <c r="A1" s="117" t="s">
        <v>771</v>
      </c>
      <c r="B1" s="117"/>
      <c r="C1" s="117"/>
      <c r="D1" s="117"/>
      <c r="E1" s="117"/>
      <c r="F1" s="117"/>
      <c r="G1" s="117"/>
      <c r="H1" s="117"/>
      <c r="I1" s="117"/>
      <c r="J1" s="117"/>
      <c r="K1" s="117"/>
      <c r="L1" s="117"/>
      <c r="M1" s="117"/>
    </row>
    <row r="2" spans="1:16">
      <c r="A2" s="117" t="s">
        <v>772</v>
      </c>
      <c r="B2" s="117"/>
      <c r="C2" s="117"/>
      <c r="D2" s="117"/>
      <c r="E2" s="117"/>
      <c r="F2" s="117"/>
      <c r="G2" s="117"/>
      <c r="H2" s="117"/>
      <c r="I2" s="117"/>
      <c r="J2" s="117"/>
      <c r="K2" s="117"/>
      <c r="L2" s="117"/>
      <c r="M2" s="117"/>
    </row>
    <row r="3" spans="1:16" ht="15.6">
      <c r="N3" s="1"/>
      <c r="O3" s="1"/>
      <c r="P3" s="2" t="s">
        <v>1</v>
      </c>
    </row>
    <row r="4" spans="1:16" ht="29.25" customHeight="1">
      <c r="A4" s="122" t="s">
        <v>2</v>
      </c>
      <c r="B4" s="122" t="s">
        <v>3</v>
      </c>
      <c r="C4" s="122" t="s">
        <v>4</v>
      </c>
      <c r="D4" s="118" t="s">
        <v>568</v>
      </c>
      <c r="E4" s="118"/>
      <c r="F4" s="118" t="s">
        <v>773</v>
      </c>
      <c r="G4" s="118"/>
      <c r="H4" s="118" t="s">
        <v>773</v>
      </c>
      <c r="I4" s="118"/>
      <c r="J4" s="118" t="s">
        <v>773</v>
      </c>
      <c r="K4" s="118"/>
      <c r="L4" s="118" t="s">
        <v>773</v>
      </c>
      <c r="M4" s="118"/>
      <c r="N4" s="118" t="s">
        <v>5</v>
      </c>
      <c r="O4" s="118"/>
      <c r="P4" s="122" t="s">
        <v>6</v>
      </c>
    </row>
    <row r="5" spans="1:16" ht="14.4" customHeight="1">
      <c r="A5" s="122"/>
      <c r="B5" s="122"/>
      <c r="C5" s="122"/>
      <c r="D5" s="118"/>
      <c r="E5" s="118"/>
      <c r="F5" s="118" t="s">
        <v>7</v>
      </c>
      <c r="G5" s="118"/>
      <c r="H5" s="118" t="s">
        <v>8</v>
      </c>
      <c r="I5" s="118"/>
      <c r="J5" s="118" t="s">
        <v>9</v>
      </c>
      <c r="K5" s="118"/>
      <c r="L5" s="123" t="s">
        <v>774</v>
      </c>
      <c r="M5" s="123"/>
      <c r="N5" s="118"/>
      <c r="O5" s="118"/>
      <c r="P5" s="122"/>
    </row>
    <row r="6" spans="1:16">
      <c r="A6" s="122"/>
      <c r="B6" s="122"/>
      <c r="C6" s="122"/>
      <c r="D6" s="3" t="s">
        <v>11</v>
      </c>
      <c r="E6" s="3" t="s">
        <v>12</v>
      </c>
      <c r="F6" s="3" t="s">
        <v>11</v>
      </c>
      <c r="G6" s="3" t="s">
        <v>12</v>
      </c>
      <c r="H6" s="3" t="s">
        <v>11</v>
      </c>
      <c r="I6" s="3" t="s">
        <v>12</v>
      </c>
      <c r="J6" s="3" t="s">
        <v>11</v>
      </c>
      <c r="K6" s="3" t="s">
        <v>12</v>
      </c>
      <c r="L6" s="30" t="s">
        <v>11</v>
      </c>
      <c r="M6" s="30" t="s">
        <v>12</v>
      </c>
      <c r="N6" s="3" t="s">
        <v>13</v>
      </c>
      <c r="O6" s="3" t="s">
        <v>14</v>
      </c>
      <c r="P6" s="122"/>
    </row>
    <row r="7" spans="1:16" ht="13.5" customHeight="1">
      <c r="A7" s="107" t="s">
        <v>15</v>
      </c>
      <c r="B7" s="108" t="s">
        <v>28</v>
      </c>
      <c r="C7" s="4" t="s">
        <v>16</v>
      </c>
      <c r="D7" s="42">
        <f t="shared" ref="D7:E7" si="0">D9+D10+D11</f>
        <v>637939.22306999995</v>
      </c>
      <c r="E7" s="42">
        <f t="shared" si="0"/>
        <v>616488.70756999985</v>
      </c>
      <c r="F7" s="34">
        <f t="shared" ref="F7:K7" si="1">F9+F10+F11</f>
        <v>123401.54598</v>
      </c>
      <c r="G7" s="34">
        <f t="shared" si="1"/>
        <v>122964.98071</v>
      </c>
      <c r="H7" s="34">
        <f t="shared" si="1"/>
        <v>314419.98999000003</v>
      </c>
      <c r="I7" s="34">
        <f t="shared" si="1"/>
        <v>314382.32910999999</v>
      </c>
      <c r="J7" s="34">
        <f t="shared" si="1"/>
        <v>434071.58283999993</v>
      </c>
      <c r="K7" s="34">
        <f t="shared" si="1"/>
        <v>432202.13539999991</v>
      </c>
      <c r="L7" s="34">
        <f>L9+L10+L11</f>
        <v>622283.70549999992</v>
      </c>
      <c r="M7" s="34">
        <f>M9+M10+M11</f>
        <v>617467.19411000004</v>
      </c>
      <c r="N7" s="34">
        <f t="shared" ref="N7:O7" si="2">N9+N10+N11</f>
        <v>570021.43999999994</v>
      </c>
      <c r="O7" s="34">
        <f t="shared" si="2"/>
        <v>564754.6399999999</v>
      </c>
      <c r="P7" s="5"/>
    </row>
    <row r="8" spans="1:16">
      <c r="A8" s="107"/>
      <c r="B8" s="108"/>
      <c r="C8" s="4" t="s">
        <v>17</v>
      </c>
      <c r="D8" s="40"/>
      <c r="E8" s="40"/>
      <c r="F8" s="3"/>
      <c r="G8" s="3"/>
      <c r="H8" s="3"/>
      <c r="I8" s="3"/>
      <c r="J8" s="3"/>
      <c r="K8" s="3"/>
      <c r="L8" s="30"/>
      <c r="M8" s="30"/>
      <c r="N8" s="3"/>
      <c r="O8" s="3"/>
      <c r="P8" s="5"/>
    </row>
    <row r="9" spans="1:16">
      <c r="A9" s="107"/>
      <c r="B9" s="108"/>
      <c r="C9" s="4" t="s">
        <v>18</v>
      </c>
      <c r="D9" s="33">
        <f t="shared" ref="D9:K9" si="3">D17+D25+D33+D41+D49+D57+D65+D73+D81+D89+D97+D105</f>
        <v>29146.9</v>
      </c>
      <c r="E9" s="33">
        <f t="shared" si="3"/>
        <v>24478.216120000001</v>
      </c>
      <c r="F9" s="33">
        <f t="shared" si="3"/>
        <v>0</v>
      </c>
      <c r="G9" s="33">
        <f t="shared" si="3"/>
        <v>0</v>
      </c>
      <c r="H9" s="33">
        <f t="shared" si="3"/>
        <v>0</v>
      </c>
      <c r="I9" s="33">
        <f t="shared" si="3"/>
        <v>0</v>
      </c>
      <c r="J9" s="33">
        <f t="shared" si="3"/>
        <v>2364.4986899999999</v>
      </c>
      <c r="K9" s="33">
        <f t="shared" si="3"/>
        <v>623.9</v>
      </c>
      <c r="L9" s="33">
        <f t="shared" ref="L9:M11" si="4">L17+L25+L33+L41+L49+L57+L65+L73+L81+L89+L97+L105</f>
        <v>8891.9599999999991</v>
      </c>
      <c r="M9" s="33">
        <f t="shared" si="4"/>
        <v>7435.079209999999</v>
      </c>
      <c r="N9" s="33">
        <f t="shared" ref="N9:O9" si="5">N17+N25+N33+N41+N49+N57+N65+N73+N81+N89+N97+N105</f>
        <v>0</v>
      </c>
      <c r="O9" s="33">
        <f t="shared" si="5"/>
        <v>0</v>
      </c>
      <c r="P9" s="6"/>
    </row>
    <row r="10" spans="1:16">
      <c r="A10" s="107"/>
      <c r="B10" s="108"/>
      <c r="C10" s="4" t="s">
        <v>19</v>
      </c>
      <c r="D10" s="33">
        <f t="shared" ref="D10:K10" si="6">D18+D26+D34+D42+D50+D58+D66+D74+D82+D90+D98+D106</f>
        <v>346948.02473999996</v>
      </c>
      <c r="E10" s="33">
        <f t="shared" si="6"/>
        <v>334632.47027999995</v>
      </c>
      <c r="F10" s="33">
        <f t="shared" si="6"/>
        <v>58275.249960000001</v>
      </c>
      <c r="G10" s="33">
        <f t="shared" si="6"/>
        <v>58105.23244</v>
      </c>
      <c r="H10" s="33">
        <f t="shared" si="6"/>
        <v>171435.47196999998</v>
      </c>
      <c r="I10" s="33">
        <f t="shared" si="6"/>
        <v>171446.20192999998</v>
      </c>
      <c r="J10" s="33">
        <f t="shared" si="6"/>
        <v>236747.38594000001</v>
      </c>
      <c r="K10" s="33">
        <f t="shared" si="6"/>
        <v>236747.33169999998</v>
      </c>
      <c r="L10" s="33">
        <f t="shared" si="4"/>
        <v>339730.10470000003</v>
      </c>
      <c r="M10" s="33">
        <f t="shared" si="4"/>
        <v>337177.01921</v>
      </c>
      <c r="N10" s="32">
        <f>N18+N26+N34+N42+N50+N58+N66+N73+N81+N89+N98+N106</f>
        <v>307854.8</v>
      </c>
      <c r="O10" s="32">
        <f t="shared" ref="O10" si="7">O18+O26+O34+O42+O50+O58+O66+O73+O81+O89+O98+O106</f>
        <v>302588</v>
      </c>
      <c r="P10" s="8"/>
    </row>
    <row r="11" spans="1:16">
      <c r="A11" s="107"/>
      <c r="B11" s="108"/>
      <c r="C11" s="4" t="s">
        <v>20</v>
      </c>
      <c r="D11" s="33">
        <f t="shared" ref="D11:K11" si="8">D19+D27+D35+D43+D51+D59+D67+D75+D83+D91+D99+D107</f>
        <v>261844.29832999999</v>
      </c>
      <c r="E11" s="33">
        <f t="shared" si="8"/>
        <v>257378.02116999993</v>
      </c>
      <c r="F11" s="33">
        <f t="shared" si="8"/>
        <v>65126.296019999987</v>
      </c>
      <c r="G11" s="33">
        <f t="shared" si="8"/>
        <v>64859.748269999996</v>
      </c>
      <c r="H11" s="33">
        <f t="shared" si="8"/>
        <v>142984.51802000002</v>
      </c>
      <c r="I11" s="33">
        <f t="shared" si="8"/>
        <v>142936.12718000001</v>
      </c>
      <c r="J11" s="33">
        <f t="shared" si="8"/>
        <v>194959.69820999994</v>
      </c>
      <c r="K11" s="33">
        <f t="shared" si="8"/>
        <v>194830.90369999997</v>
      </c>
      <c r="L11" s="33">
        <f t="shared" si="4"/>
        <v>273661.64079999994</v>
      </c>
      <c r="M11" s="33">
        <f t="shared" si="4"/>
        <v>272855.09568999999</v>
      </c>
      <c r="N11" s="32">
        <f>N19+N27+N35+N43+N51+N59+N67+N74+N82+N90+N99+N107</f>
        <v>262166.63999999996</v>
      </c>
      <c r="O11" s="32">
        <f t="shared" ref="O11" si="9">O19+O27+O35+O43+O51+O59+O67+O74+O82+O90+O99+O107</f>
        <v>262166.63999999996</v>
      </c>
      <c r="P11" s="8"/>
    </row>
    <row r="12" spans="1:16">
      <c r="A12" s="107"/>
      <c r="B12" s="108"/>
      <c r="C12" s="4" t="s">
        <v>21</v>
      </c>
      <c r="D12" s="7"/>
      <c r="E12" s="7"/>
      <c r="F12" s="7"/>
      <c r="G12" s="7"/>
      <c r="H12" s="7"/>
      <c r="I12" s="7"/>
      <c r="J12" s="7"/>
      <c r="K12" s="7"/>
      <c r="L12" s="32"/>
      <c r="M12" s="32"/>
      <c r="N12" s="8"/>
      <c r="O12" s="8"/>
      <c r="P12" s="8"/>
    </row>
    <row r="13" spans="1:16">
      <c r="A13" s="107"/>
      <c r="B13" s="108"/>
      <c r="C13" s="4" t="s">
        <v>22</v>
      </c>
      <c r="D13" s="7"/>
      <c r="E13" s="7"/>
      <c r="F13" s="7"/>
      <c r="G13" s="7"/>
      <c r="H13" s="7"/>
      <c r="I13" s="7"/>
      <c r="J13" s="7"/>
      <c r="K13" s="7"/>
      <c r="L13" s="32"/>
      <c r="M13" s="32"/>
      <c r="N13" s="8"/>
      <c r="O13" s="8"/>
      <c r="P13" s="8"/>
    </row>
    <row r="14" spans="1:16">
      <c r="A14" s="107"/>
      <c r="B14" s="108"/>
      <c r="C14" s="4" t="s">
        <v>23</v>
      </c>
      <c r="D14" s="7"/>
      <c r="E14" s="7"/>
      <c r="F14" s="7"/>
      <c r="G14" s="7"/>
      <c r="H14" s="7"/>
      <c r="I14" s="7"/>
      <c r="J14" s="7"/>
      <c r="K14" s="7"/>
      <c r="L14" s="32"/>
      <c r="M14" s="32"/>
      <c r="N14" s="8"/>
      <c r="O14" s="8"/>
      <c r="P14" s="8"/>
    </row>
    <row r="15" spans="1:16" ht="12" customHeight="1">
      <c r="A15" s="109" t="s">
        <v>24</v>
      </c>
      <c r="B15" s="112" t="s">
        <v>30</v>
      </c>
      <c r="C15" s="4" t="s">
        <v>16</v>
      </c>
      <c r="D15" s="7"/>
      <c r="E15" s="7"/>
      <c r="F15" s="7"/>
      <c r="G15" s="7"/>
      <c r="H15" s="7"/>
      <c r="I15" s="7"/>
      <c r="J15" s="7"/>
      <c r="K15" s="7"/>
      <c r="L15" s="32"/>
      <c r="M15" s="32"/>
      <c r="N15" s="8"/>
      <c r="O15" s="8"/>
      <c r="P15" s="8"/>
    </row>
    <row r="16" spans="1:16">
      <c r="A16" s="110"/>
      <c r="B16" s="113"/>
      <c r="C16" s="4" t="s">
        <v>17</v>
      </c>
      <c r="D16" s="7"/>
      <c r="E16" s="7"/>
      <c r="F16" s="7"/>
      <c r="G16" s="7"/>
      <c r="H16" s="7"/>
      <c r="I16" s="7"/>
      <c r="J16" s="7"/>
      <c r="K16" s="7"/>
      <c r="L16" s="32"/>
      <c r="M16" s="32"/>
      <c r="N16" s="8"/>
      <c r="O16" s="8"/>
      <c r="P16" s="8"/>
    </row>
    <row r="17" spans="1:16">
      <c r="A17" s="110"/>
      <c r="B17" s="113"/>
      <c r="C17" s="4" t="s">
        <v>18</v>
      </c>
      <c r="D17" s="7"/>
      <c r="E17" s="7"/>
      <c r="F17" s="7"/>
      <c r="G17" s="7"/>
      <c r="H17" s="7"/>
      <c r="I17" s="7"/>
      <c r="J17" s="7"/>
      <c r="K17" s="7"/>
      <c r="L17" s="32"/>
      <c r="M17" s="32"/>
      <c r="N17" s="8"/>
      <c r="O17" s="8"/>
      <c r="P17" s="8"/>
    </row>
    <row r="18" spans="1:16">
      <c r="A18" s="110"/>
      <c r="B18" s="113"/>
      <c r="C18" s="4" t="s">
        <v>19</v>
      </c>
      <c r="D18" s="32">
        <f>'приложение 9'!H74+'приложение 9'!H75</f>
        <v>511.01299999999998</v>
      </c>
      <c r="E18" s="32">
        <f>'приложение 9'!I74+'приложение 9'!I75</f>
        <v>511.01299999999998</v>
      </c>
      <c r="F18" s="32">
        <f>'приложение 9'!J74+'приложение 9'!J75</f>
        <v>87.514409999999998</v>
      </c>
      <c r="G18" s="32">
        <f>'приложение 9'!K74+'приложение 9'!K75</f>
        <v>86.890410000000003</v>
      </c>
      <c r="H18" s="32">
        <f>'приложение 9'!L74+'приложение 9'!L75</f>
        <v>237.09341000000001</v>
      </c>
      <c r="I18" s="32">
        <f>'приложение 9'!M74+'приложение 9'!M75</f>
        <v>237.09341000000001</v>
      </c>
      <c r="J18" s="32">
        <f>'приложение 9'!N74+'приложение 9'!N75</f>
        <v>790.13240999999994</v>
      </c>
      <c r="K18" s="32">
        <f>'приложение 9'!O74+'приложение 9'!O75</f>
        <v>790.13240999999994</v>
      </c>
      <c r="L18" s="32">
        <f>'приложение 9'!P74+'приложение 9'!P75</f>
        <v>1482.2004099999999</v>
      </c>
      <c r="M18" s="32">
        <f>'приложение 9'!Q74+'приложение 9'!Q75</f>
        <v>1482.2004099999999</v>
      </c>
      <c r="N18" s="32">
        <f>'приложение 9'!R74+'приложение 9'!R75</f>
        <v>0</v>
      </c>
      <c r="O18" s="32">
        <f>'приложение 9'!S74+'приложение 9'!S75</f>
        <v>0</v>
      </c>
      <c r="P18" s="8"/>
    </row>
    <row r="19" spans="1:16">
      <c r="A19" s="110"/>
      <c r="B19" s="113"/>
      <c r="C19" s="4" t="s">
        <v>20</v>
      </c>
      <c r="D19" s="7"/>
      <c r="E19" s="7"/>
      <c r="F19" s="7"/>
      <c r="G19" s="7"/>
      <c r="H19" s="7"/>
      <c r="I19" s="7"/>
      <c r="J19" s="7"/>
      <c r="K19" s="7"/>
      <c r="L19" s="32"/>
      <c r="M19" s="32"/>
      <c r="N19" s="8"/>
      <c r="O19" s="8"/>
      <c r="P19" s="8"/>
    </row>
    <row r="20" spans="1:16">
      <c r="A20" s="110"/>
      <c r="B20" s="113"/>
      <c r="C20" s="4" t="s">
        <v>21</v>
      </c>
      <c r="D20" s="7"/>
      <c r="E20" s="7"/>
      <c r="F20" s="7"/>
      <c r="G20" s="7"/>
      <c r="H20" s="7"/>
      <c r="I20" s="7"/>
      <c r="J20" s="7"/>
      <c r="K20" s="7"/>
      <c r="L20" s="32"/>
      <c r="M20" s="32"/>
      <c r="N20" s="8"/>
      <c r="O20" s="8"/>
      <c r="P20" s="8"/>
    </row>
    <row r="21" spans="1:16">
      <c r="A21" s="110"/>
      <c r="B21" s="113"/>
      <c r="C21" s="4" t="s">
        <v>22</v>
      </c>
      <c r="D21" s="7"/>
      <c r="E21" s="7"/>
      <c r="F21" s="7"/>
      <c r="G21" s="7"/>
      <c r="H21" s="7"/>
      <c r="I21" s="7"/>
      <c r="J21" s="7"/>
      <c r="K21" s="7"/>
      <c r="L21" s="32"/>
      <c r="M21" s="32"/>
      <c r="N21" s="8"/>
      <c r="O21" s="8"/>
      <c r="P21" s="8"/>
    </row>
    <row r="22" spans="1:16">
      <c r="A22" s="111"/>
      <c r="B22" s="114"/>
      <c r="C22" s="4" t="s">
        <v>23</v>
      </c>
      <c r="D22" s="7"/>
      <c r="E22" s="7"/>
      <c r="F22" s="7"/>
      <c r="G22" s="7"/>
      <c r="H22" s="7"/>
      <c r="I22" s="7"/>
      <c r="J22" s="7"/>
      <c r="K22" s="7"/>
      <c r="L22" s="32"/>
      <c r="M22" s="32"/>
      <c r="N22" s="8"/>
      <c r="O22" s="8"/>
      <c r="P22" s="8"/>
    </row>
    <row r="23" spans="1:16" ht="18" customHeight="1">
      <c r="A23" s="119" t="s">
        <v>31</v>
      </c>
      <c r="B23" s="112" t="s">
        <v>596</v>
      </c>
      <c r="C23" s="52" t="s">
        <v>16</v>
      </c>
      <c r="D23" s="7"/>
      <c r="E23" s="7"/>
      <c r="F23" s="7"/>
      <c r="G23" s="7"/>
      <c r="H23" s="7"/>
      <c r="I23" s="7"/>
      <c r="J23" s="7"/>
      <c r="K23" s="7"/>
      <c r="L23" s="32"/>
      <c r="M23" s="32"/>
      <c r="N23" s="8"/>
      <c r="O23" s="8"/>
      <c r="P23" s="8"/>
    </row>
    <row r="24" spans="1:16" ht="18" customHeight="1">
      <c r="A24" s="120"/>
      <c r="B24" s="113"/>
      <c r="C24" s="52" t="s">
        <v>17</v>
      </c>
      <c r="D24" s="7"/>
      <c r="E24" s="7"/>
      <c r="F24" s="7"/>
      <c r="G24" s="7"/>
      <c r="H24" s="7"/>
      <c r="I24" s="7"/>
      <c r="J24" s="7"/>
      <c r="K24" s="7"/>
      <c r="L24" s="32"/>
      <c r="M24" s="32"/>
      <c r="N24" s="8"/>
      <c r="O24" s="8"/>
      <c r="P24" s="8"/>
    </row>
    <row r="25" spans="1:16" ht="18" customHeight="1">
      <c r="A25" s="120"/>
      <c r="B25" s="113"/>
      <c r="C25" s="52" t="s">
        <v>18</v>
      </c>
      <c r="D25" s="32">
        <f>'приложение 9'!H78</f>
        <v>0</v>
      </c>
      <c r="E25" s="32">
        <f>'приложение 9'!I78</f>
        <v>0</v>
      </c>
      <c r="F25" s="32">
        <f>'приложение 9'!J78</f>
        <v>0</v>
      </c>
      <c r="G25" s="32">
        <f>'приложение 9'!K78</f>
        <v>0</v>
      </c>
      <c r="H25" s="32">
        <f>'приложение 9'!L78</f>
        <v>0</v>
      </c>
      <c r="I25" s="32">
        <f>'приложение 9'!M78</f>
        <v>0</v>
      </c>
      <c r="J25" s="32">
        <f>'приложение 9'!N78</f>
        <v>623.9</v>
      </c>
      <c r="K25" s="32">
        <f>'приложение 9'!O78</f>
        <v>623.9</v>
      </c>
      <c r="L25" s="32">
        <f>'приложение 9'!P78</f>
        <v>623.9</v>
      </c>
      <c r="M25" s="32">
        <f>'приложение 9'!Q78</f>
        <v>623.9</v>
      </c>
      <c r="N25" s="32">
        <f>'приложение 9'!R78</f>
        <v>0</v>
      </c>
      <c r="O25" s="32">
        <f>'приложение 9'!S78</f>
        <v>0</v>
      </c>
      <c r="P25" s="8"/>
    </row>
    <row r="26" spans="1:16" ht="18" customHeight="1">
      <c r="A26" s="120"/>
      <c r="B26" s="113"/>
      <c r="C26" s="52" t="s">
        <v>19</v>
      </c>
      <c r="D26" s="7"/>
      <c r="E26" s="7"/>
      <c r="F26" s="7"/>
      <c r="G26" s="7"/>
      <c r="H26" s="7"/>
      <c r="I26" s="7"/>
      <c r="J26" s="7"/>
      <c r="K26" s="7"/>
      <c r="L26" s="32"/>
      <c r="M26" s="32"/>
      <c r="N26" s="8"/>
      <c r="O26" s="8"/>
      <c r="P26" s="8"/>
    </row>
    <row r="27" spans="1:16" ht="18" customHeight="1">
      <c r="A27" s="120"/>
      <c r="B27" s="113"/>
      <c r="C27" s="52" t="s">
        <v>20</v>
      </c>
      <c r="D27" s="7"/>
      <c r="E27" s="7"/>
      <c r="F27" s="7"/>
      <c r="G27" s="7"/>
      <c r="H27" s="7"/>
      <c r="I27" s="7"/>
      <c r="J27" s="7"/>
      <c r="K27" s="7"/>
      <c r="L27" s="32"/>
      <c r="M27" s="32"/>
      <c r="N27" s="8"/>
      <c r="O27" s="8"/>
      <c r="P27" s="8"/>
    </row>
    <row r="28" spans="1:16" ht="18" customHeight="1">
      <c r="A28" s="120"/>
      <c r="B28" s="113"/>
      <c r="C28" s="52" t="s">
        <v>21</v>
      </c>
      <c r="D28" s="7"/>
      <c r="E28" s="7"/>
      <c r="F28" s="7"/>
      <c r="G28" s="7"/>
      <c r="H28" s="7"/>
      <c r="I28" s="7"/>
      <c r="J28" s="7"/>
      <c r="K28" s="7"/>
      <c r="L28" s="32"/>
      <c r="M28" s="32"/>
      <c r="N28" s="8"/>
      <c r="O28" s="8"/>
      <c r="P28" s="8"/>
    </row>
    <row r="29" spans="1:16" ht="18" customHeight="1">
      <c r="A29" s="120"/>
      <c r="B29" s="113"/>
      <c r="C29" s="52" t="s">
        <v>22</v>
      </c>
      <c r="D29" s="7"/>
      <c r="E29" s="7"/>
      <c r="F29" s="7"/>
      <c r="G29" s="7"/>
      <c r="H29" s="7"/>
      <c r="I29" s="7"/>
      <c r="J29" s="7"/>
      <c r="K29" s="7"/>
      <c r="L29" s="32"/>
      <c r="M29" s="32"/>
      <c r="N29" s="8"/>
      <c r="O29" s="8"/>
      <c r="P29" s="8"/>
    </row>
    <row r="30" spans="1:16" ht="18" customHeight="1">
      <c r="A30" s="121"/>
      <c r="B30" s="114"/>
      <c r="C30" s="52" t="s">
        <v>23</v>
      </c>
      <c r="D30" s="7"/>
      <c r="E30" s="7"/>
      <c r="F30" s="7"/>
      <c r="G30" s="7"/>
      <c r="H30" s="7"/>
      <c r="I30" s="7"/>
      <c r="J30" s="7"/>
      <c r="K30" s="7"/>
      <c r="L30" s="32"/>
      <c r="M30" s="32"/>
      <c r="N30" s="8"/>
      <c r="O30" s="8"/>
      <c r="P30" s="8"/>
    </row>
    <row r="31" spans="1:16" ht="14.25" customHeight="1">
      <c r="A31" s="109" t="s">
        <v>32</v>
      </c>
      <c r="B31" s="112" t="s">
        <v>44</v>
      </c>
      <c r="C31" s="11" t="s">
        <v>16</v>
      </c>
      <c r="D31" s="7"/>
      <c r="E31" s="7"/>
      <c r="F31" s="7"/>
      <c r="G31" s="7"/>
      <c r="H31" s="7"/>
      <c r="I31" s="7"/>
      <c r="J31" s="7"/>
      <c r="K31" s="7"/>
      <c r="L31" s="32"/>
      <c r="M31" s="32"/>
      <c r="N31" s="8"/>
      <c r="O31" s="8"/>
      <c r="P31" s="8"/>
    </row>
    <row r="32" spans="1:16">
      <c r="A32" s="110"/>
      <c r="B32" s="113"/>
      <c r="C32" s="11" t="s">
        <v>17</v>
      </c>
      <c r="D32" s="7"/>
      <c r="E32" s="7"/>
      <c r="F32" s="7"/>
      <c r="G32" s="7"/>
      <c r="H32" s="7"/>
      <c r="I32" s="7"/>
      <c r="J32" s="7"/>
      <c r="K32" s="7"/>
      <c r="L32" s="32"/>
      <c r="M32" s="32"/>
      <c r="N32" s="8"/>
      <c r="O32" s="8"/>
      <c r="P32" s="8"/>
    </row>
    <row r="33" spans="1:16">
      <c r="A33" s="110"/>
      <c r="B33" s="113"/>
      <c r="C33" s="11" t="s">
        <v>18</v>
      </c>
      <c r="D33" s="32">
        <f>'приложение 9'!H80</f>
        <v>25874.2</v>
      </c>
      <c r="E33" s="32">
        <f>'приложение 9'!I80</f>
        <v>21205.51612</v>
      </c>
      <c r="F33" s="32">
        <f>'приложение 9'!J80</f>
        <v>0</v>
      </c>
      <c r="G33" s="32">
        <f>'приложение 9'!K80</f>
        <v>0</v>
      </c>
      <c r="H33" s="32">
        <f>'приложение 9'!L80</f>
        <v>0</v>
      </c>
      <c r="I33" s="32">
        <f>'приложение 9'!M80</f>
        <v>0</v>
      </c>
      <c r="J33" s="32">
        <f>'приложение 9'!N80</f>
        <v>0</v>
      </c>
      <c r="K33" s="32">
        <f>'приложение 9'!O80</f>
        <v>0</v>
      </c>
      <c r="L33" s="32">
        <f>'приложение 9'!P80</f>
        <v>0</v>
      </c>
      <c r="M33" s="32">
        <f>'приложение 9'!Q80</f>
        <v>0</v>
      </c>
      <c r="N33" s="32">
        <f>'приложение 9'!R80</f>
        <v>0</v>
      </c>
      <c r="O33" s="32">
        <f>'приложение 9'!S80</f>
        <v>0</v>
      </c>
      <c r="P33" s="8"/>
    </row>
    <row r="34" spans="1:16">
      <c r="A34" s="110"/>
      <c r="B34" s="113"/>
      <c r="C34" s="11" t="s">
        <v>19</v>
      </c>
      <c r="D34" s="7"/>
      <c r="E34" s="7"/>
      <c r="F34" s="7"/>
      <c r="G34" s="7"/>
      <c r="H34" s="7"/>
      <c r="I34" s="7"/>
      <c r="J34" s="7"/>
      <c r="K34" s="7"/>
      <c r="L34" s="32"/>
      <c r="M34" s="32"/>
      <c r="N34" s="8"/>
      <c r="O34" s="8"/>
      <c r="P34" s="8"/>
    </row>
    <row r="35" spans="1:16">
      <c r="A35" s="110"/>
      <c r="B35" s="113"/>
      <c r="C35" s="11" t="s">
        <v>20</v>
      </c>
      <c r="D35" s="7"/>
      <c r="E35" s="7"/>
      <c r="F35" s="7"/>
      <c r="G35" s="7"/>
      <c r="H35" s="7"/>
      <c r="I35" s="7"/>
      <c r="J35" s="7"/>
      <c r="K35" s="7"/>
      <c r="L35" s="32"/>
      <c r="M35" s="32"/>
      <c r="N35" s="8"/>
      <c r="O35" s="8"/>
      <c r="P35" s="8"/>
    </row>
    <row r="36" spans="1:16">
      <c r="A36" s="110"/>
      <c r="B36" s="113"/>
      <c r="C36" s="11" t="s">
        <v>21</v>
      </c>
      <c r="D36" s="7"/>
      <c r="E36" s="7"/>
      <c r="F36" s="7"/>
      <c r="G36" s="7"/>
      <c r="H36" s="7"/>
      <c r="I36" s="7"/>
      <c r="J36" s="7"/>
      <c r="K36" s="7"/>
      <c r="L36" s="32"/>
      <c r="M36" s="32"/>
      <c r="N36" s="8"/>
      <c r="O36" s="8"/>
      <c r="P36" s="8"/>
    </row>
    <row r="37" spans="1:16">
      <c r="A37" s="110"/>
      <c r="B37" s="113"/>
      <c r="C37" s="11" t="s">
        <v>22</v>
      </c>
      <c r="D37" s="7"/>
      <c r="E37" s="7"/>
      <c r="F37" s="7"/>
      <c r="G37" s="7"/>
      <c r="H37" s="7"/>
      <c r="I37" s="7"/>
      <c r="J37" s="7"/>
      <c r="K37" s="7"/>
      <c r="L37" s="32"/>
      <c r="M37" s="32"/>
      <c r="N37" s="8"/>
      <c r="O37" s="8"/>
      <c r="P37" s="8"/>
    </row>
    <row r="38" spans="1:16">
      <c r="A38" s="111"/>
      <c r="B38" s="114"/>
      <c r="C38" s="11" t="s">
        <v>23</v>
      </c>
      <c r="D38" s="7"/>
      <c r="E38" s="7"/>
      <c r="F38" s="7"/>
      <c r="G38" s="7"/>
      <c r="H38" s="7"/>
      <c r="I38" s="7"/>
      <c r="J38" s="7"/>
      <c r="K38" s="7"/>
      <c r="L38" s="32"/>
      <c r="M38" s="32"/>
      <c r="N38" s="8"/>
      <c r="O38" s="8"/>
      <c r="P38" s="8"/>
    </row>
    <row r="39" spans="1:16" ht="14.25" customHeight="1">
      <c r="A39" s="109" t="s">
        <v>33</v>
      </c>
      <c r="B39" s="112" t="s">
        <v>43</v>
      </c>
      <c r="C39" s="11" t="s">
        <v>16</v>
      </c>
      <c r="D39" s="7"/>
      <c r="E39" s="7"/>
      <c r="F39" s="7"/>
      <c r="G39" s="7"/>
      <c r="H39" s="7"/>
      <c r="I39" s="7"/>
      <c r="J39" s="7"/>
      <c r="K39" s="7"/>
      <c r="L39" s="32"/>
      <c r="M39" s="32"/>
      <c r="N39" s="8"/>
      <c r="O39" s="8"/>
      <c r="P39" s="8"/>
    </row>
    <row r="40" spans="1:16">
      <c r="A40" s="110"/>
      <c r="B40" s="113"/>
      <c r="C40" s="11" t="s">
        <v>17</v>
      </c>
      <c r="D40" s="7"/>
      <c r="E40" s="7"/>
      <c r="F40" s="7"/>
      <c r="G40" s="7"/>
      <c r="H40" s="7"/>
      <c r="I40" s="7"/>
      <c r="J40" s="7"/>
      <c r="K40" s="7"/>
      <c r="L40" s="32"/>
      <c r="M40" s="32"/>
      <c r="N40" s="8"/>
      <c r="O40" s="8"/>
      <c r="P40" s="8"/>
    </row>
    <row r="41" spans="1:16">
      <c r="A41" s="110"/>
      <c r="B41" s="113"/>
      <c r="C41" s="11" t="s">
        <v>18</v>
      </c>
      <c r="D41" s="7"/>
      <c r="E41" s="7"/>
      <c r="F41" s="7"/>
      <c r="G41" s="7"/>
      <c r="H41" s="7"/>
      <c r="I41" s="7"/>
      <c r="J41" s="7"/>
      <c r="K41" s="7"/>
      <c r="L41" s="32"/>
      <c r="M41" s="32"/>
      <c r="N41" s="8"/>
      <c r="O41" s="8"/>
      <c r="P41" s="8"/>
    </row>
    <row r="42" spans="1:16">
      <c r="A42" s="110"/>
      <c r="B42" s="113"/>
      <c r="C42" s="11" t="s">
        <v>19</v>
      </c>
      <c r="D42" s="32">
        <f>'приложение 9'!H83+'приложение 9'!H84</f>
        <v>1523.8</v>
      </c>
      <c r="E42" s="32">
        <f>'приложение 9'!I83+'приложение 9'!I84</f>
        <v>1523.8</v>
      </c>
      <c r="F42" s="32">
        <f>'приложение 9'!J83+'приложение 9'!J84</f>
        <v>287.68299999999999</v>
      </c>
      <c r="G42" s="32">
        <f>'приложение 9'!K83+'приложение 9'!K84</f>
        <v>256.86380000000003</v>
      </c>
      <c r="H42" s="32">
        <f>'приложение 9'!L83+'приложение 9'!L84</f>
        <v>702.45052999999996</v>
      </c>
      <c r="I42" s="32">
        <f>'приложение 9'!M83+'приложение 9'!M84</f>
        <v>715.58173999999997</v>
      </c>
      <c r="J42" s="32">
        <f>'приложение 9'!N83+'приложение 9'!N84</f>
        <v>702.45052999999996</v>
      </c>
      <c r="K42" s="32">
        <f>'приложение 9'!O83+'приложение 9'!O84</f>
        <v>702.45052999999996</v>
      </c>
      <c r="L42" s="32">
        <f>'приложение 9'!P83+'приложение 9'!P84</f>
        <v>702.45052999999996</v>
      </c>
      <c r="M42" s="32">
        <f>'приложение 9'!Q83+'приложение 9'!Q84</f>
        <v>702.45052999999996</v>
      </c>
      <c r="N42" s="32">
        <f>'приложение 9'!R83+'приложение 9'!R84</f>
        <v>1585.5</v>
      </c>
      <c r="O42" s="32">
        <f>'приложение 9'!S83+'приложение 9'!S84</f>
        <v>1585.5</v>
      </c>
      <c r="P42" s="8"/>
    </row>
    <row r="43" spans="1:16">
      <c r="A43" s="110"/>
      <c r="B43" s="113"/>
      <c r="C43" s="11" t="s">
        <v>20</v>
      </c>
      <c r="D43" s="7"/>
      <c r="E43" s="7"/>
      <c r="F43" s="7"/>
      <c r="G43" s="7"/>
      <c r="H43" s="7"/>
      <c r="I43" s="7"/>
      <c r="J43" s="7"/>
      <c r="K43" s="7"/>
      <c r="L43" s="32"/>
      <c r="M43" s="32"/>
      <c r="N43" s="8"/>
      <c r="O43" s="8"/>
      <c r="P43" s="8"/>
    </row>
    <row r="44" spans="1:16">
      <c r="A44" s="110"/>
      <c r="B44" s="113"/>
      <c r="C44" s="11" t="s">
        <v>21</v>
      </c>
      <c r="D44" s="7"/>
      <c r="E44" s="7"/>
      <c r="F44" s="7"/>
      <c r="G44" s="7"/>
      <c r="H44" s="7"/>
      <c r="I44" s="7"/>
      <c r="J44" s="7"/>
      <c r="K44" s="7"/>
      <c r="L44" s="32"/>
      <c r="M44" s="32"/>
      <c r="N44" s="8"/>
      <c r="O44" s="8"/>
      <c r="P44" s="8"/>
    </row>
    <row r="45" spans="1:16">
      <c r="A45" s="110"/>
      <c r="B45" s="113"/>
      <c r="C45" s="11" t="s">
        <v>22</v>
      </c>
      <c r="D45" s="7"/>
      <c r="E45" s="7"/>
      <c r="F45" s="7"/>
      <c r="G45" s="7"/>
      <c r="H45" s="7"/>
      <c r="I45" s="7"/>
      <c r="J45" s="7"/>
      <c r="K45" s="7"/>
      <c r="L45" s="32"/>
      <c r="M45" s="32"/>
      <c r="N45" s="8"/>
      <c r="O45" s="8"/>
      <c r="P45" s="8"/>
    </row>
    <row r="46" spans="1:16">
      <c r="A46" s="111"/>
      <c r="B46" s="114"/>
      <c r="C46" s="11" t="s">
        <v>23</v>
      </c>
      <c r="D46" s="7"/>
      <c r="E46" s="7"/>
      <c r="F46" s="7"/>
      <c r="G46" s="7"/>
      <c r="H46" s="7"/>
      <c r="I46" s="7"/>
      <c r="J46" s="7"/>
      <c r="K46" s="7"/>
      <c r="L46" s="32"/>
      <c r="M46" s="32"/>
      <c r="N46" s="8"/>
      <c r="O46" s="8"/>
      <c r="P46" s="8"/>
    </row>
    <row r="47" spans="1:16" ht="14.25" customHeight="1">
      <c r="A47" s="109" t="s">
        <v>34</v>
      </c>
      <c r="B47" s="112" t="s">
        <v>42</v>
      </c>
      <c r="C47" s="11" t="s">
        <v>16</v>
      </c>
      <c r="D47" s="7"/>
      <c r="E47" s="7"/>
      <c r="F47" s="7"/>
      <c r="G47" s="7"/>
      <c r="H47" s="7"/>
      <c r="I47" s="7"/>
      <c r="J47" s="7"/>
      <c r="K47" s="7"/>
      <c r="L47" s="32"/>
      <c r="M47" s="32"/>
      <c r="N47" s="8"/>
      <c r="O47" s="8"/>
      <c r="P47" s="8"/>
    </row>
    <row r="48" spans="1:16">
      <c r="A48" s="110"/>
      <c r="B48" s="113"/>
      <c r="C48" s="11" t="s">
        <v>17</v>
      </c>
      <c r="D48" s="7"/>
      <c r="E48" s="7"/>
      <c r="F48" s="7"/>
      <c r="G48" s="7"/>
      <c r="H48" s="7"/>
      <c r="I48" s="7"/>
      <c r="J48" s="7"/>
      <c r="K48" s="7"/>
      <c r="L48" s="32"/>
      <c r="M48" s="32"/>
      <c r="N48" s="8"/>
      <c r="O48" s="8"/>
      <c r="P48" s="8"/>
    </row>
    <row r="49" spans="1:16">
      <c r="A49" s="110"/>
      <c r="B49" s="113"/>
      <c r="C49" s="11" t="s">
        <v>18</v>
      </c>
      <c r="D49" s="7"/>
      <c r="E49" s="7"/>
      <c r="F49" s="7"/>
      <c r="G49" s="7"/>
      <c r="H49" s="7"/>
      <c r="I49" s="7"/>
      <c r="J49" s="7"/>
      <c r="K49" s="7"/>
      <c r="L49" s="32"/>
      <c r="M49" s="32"/>
      <c r="N49" s="8"/>
      <c r="O49" s="8"/>
      <c r="P49" s="8"/>
    </row>
    <row r="50" spans="1:16">
      <c r="A50" s="110"/>
      <c r="B50" s="113"/>
      <c r="C50" s="11" t="s">
        <v>19</v>
      </c>
      <c r="D50" s="32">
        <f>'приложение 9'!H86</f>
        <v>20800.2</v>
      </c>
      <c r="E50" s="32">
        <f>'приложение 9'!I86</f>
        <v>11782.9216</v>
      </c>
      <c r="F50" s="32">
        <f>'приложение 9'!J86</f>
        <v>0</v>
      </c>
      <c r="G50" s="32">
        <f>'приложение 9'!K86</f>
        <v>0</v>
      </c>
      <c r="H50" s="32">
        <f>'приложение 9'!L86</f>
        <v>0</v>
      </c>
      <c r="I50" s="32">
        <f>'приложение 9'!M86</f>
        <v>0</v>
      </c>
      <c r="J50" s="32">
        <f>'приложение 9'!N86</f>
        <v>0</v>
      </c>
      <c r="K50" s="32">
        <f>'приложение 9'!O86</f>
        <v>0</v>
      </c>
      <c r="L50" s="32">
        <f>'приложение 9'!P86</f>
        <v>0</v>
      </c>
      <c r="M50" s="32">
        <f>'приложение 9'!Q86</f>
        <v>0</v>
      </c>
      <c r="N50" s="32">
        <f>'приложение 9'!R86</f>
        <v>10533.6</v>
      </c>
      <c r="O50" s="32">
        <f>'приложение 9'!S86</f>
        <v>5266.8</v>
      </c>
      <c r="P50" s="8"/>
    </row>
    <row r="51" spans="1:16">
      <c r="A51" s="110"/>
      <c r="B51" s="113"/>
      <c r="C51" s="11" t="s">
        <v>20</v>
      </c>
      <c r="D51" s="7"/>
      <c r="E51" s="7"/>
      <c r="F51" s="7"/>
      <c r="G51" s="7"/>
      <c r="H51" s="7"/>
      <c r="I51" s="7"/>
      <c r="J51" s="7"/>
      <c r="K51" s="7"/>
      <c r="L51" s="32"/>
      <c r="M51" s="32"/>
      <c r="N51" s="8"/>
      <c r="O51" s="8"/>
      <c r="P51" s="8"/>
    </row>
    <row r="52" spans="1:16">
      <c r="A52" s="110"/>
      <c r="B52" s="113"/>
      <c r="C52" s="11" t="s">
        <v>21</v>
      </c>
      <c r="D52" s="7"/>
      <c r="E52" s="7"/>
      <c r="F52" s="7"/>
      <c r="G52" s="7"/>
      <c r="H52" s="7"/>
      <c r="I52" s="7"/>
      <c r="J52" s="7"/>
      <c r="K52" s="7"/>
      <c r="L52" s="32"/>
      <c r="M52" s="32"/>
      <c r="N52" s="8"/>
      <c r="O52" s="8"/>
      <c r="P52" s="8"/>
    </row>
    <row r="53" spans="1:16">
      <c r="A53" s="110"/>
      <c r="B53" s="113"/>
      <c r="C53" s="11" t="s">
        <v>22</v>
      </c>
      <c r="D53" s="7"/>
      <c r="E53" s="7"/>
      <c r="F53" s="7"/>
      <c r="G53" s="7"/>
      <c r="H53" s="7"/>
      <c r="I53" s="7"/>
      <c r="J53" s="7"/>
      <c r="K53" s="7"/>
      <c r="L53" s="32"/>
      <c r="M53" s="32"/>
      <c r="N53" s="8"/>
      <c r="O53" s="8"/>
      <c r="P53" s="8"/>
    </row>
    <row r="54" spans="1:16">
      <c r="A54" s="111"/>
      <c r="B54" s="114"/>
      <c r="C54" s="11" t="s">
        <v>23</v>
      </c>
      <c r="D54" s="7"/>
      <c r="E54" s="7"/>
      <c r="F54" s="7"/>
      <c r="G54" s="7"/>
      <c r="H54" s="7"/>
      <c r="I54" s="7"/>
      <c r="J54" s="7"/>
      <c r="K54" s="7"/>
      <c r="L54" s="32"/>
      <c r="M54" s="32"/>
      <c r="N54" s="8"/>
      <c r="O54" s="8"/>
      <c r="P54" s="8"/>
    </row>
    <row r="55" spans="1:16" ht="14.25" customHeight="1">
      <c r="A55" s="109" t="s">
        <v>35</v>
      </c>
      <c r="B55" s="112" t="s">
        <v>41</v>
      </c>
      <c r="C55" s="4" t="s">
        <v>16</v>
      </c>
      <c r="D55" s="7"/>
      <c r="E55" s="7"/>
      <c r="F55" s="7"/>
      <c r="G55" s="7"/>
      <c r="H55" s="7"/>
      <c r="I55" s="7"/>
      <c r="J55" s="7"/>
      <c r="K55" s="7"/>
      <c r="L55" s="32"/>
      <c r="M55" s="32"/>
      <c r="N55" s="8"/>
      <c r="O55" s="8"/>
      <c r="P55" s="8"/>
    </row>
    <row r="56" spans="1:16">
      <c r="A56" s="110"/>
      <c r="B56" s="113"/>
      <c r="C56" s="4" t="s">
        <v>17</v>
      </c>
      <c r="D56" s="7"/>
      <c r="E56" s="7"/>
      <c r="F56" s="7"/>
      <c r="G56" s="7"/>
      <c r="H56" s="7"/>
      <c r="I56" s="7"/>
      <c r="J56" s="7"/>
      <c r="K56" s="7"/>
      <c r="L56" s="32"/>
      <c r="M56" s="32"/>
      <c r="N56" s="8"/>
      <c r="O56" s="8"/>
      <c r="P56" s="8"/>
    </row>
    <row r="57" spans="1:16">
      <c r="A57" s="110"/>
      <c r="B57" s="113"/>
      <c r="C57" s="4" t="s">
        <v>18</v>
      </c>
      <c r="D57" s="7"/>
      <c r="E57" s="7"/>
      <c r="F57" s="7"/>
      <c r="G57" s="7"/>
      <c r="H57" s="7"/>
      <c r="I57" s="7"/>
      <c r="J57" s="7"/>
      <c r="K57" s="7"/>
      <c r="L57" s="32"/>
      <c r="M57" s="32"/>
      <c r="N57" s="8"/>
      <c r="O57" s="8"/>
      <c r="P57" s="8"/>
    </row>
    <row r="58" spans="1:16">
      <c r="A58" s="110"/>
      <c r="B58" s="113"/>
      <c r="C58" s="4" t="s">
        <v>19</v>
      </c>
      <c r="D58" s="7"/>
      <c r="E58" s="7"/>
      <c r="F58" s="7"/>
      <c r="G58" s="7"/>
      <c r="H58" s="7"/>
      <c r="I58" s="7"/>
      <c r="J58" s="7"/>
      <c r="K58" s="7"/>
      <c r="L58" s="32"/>
      <c r="M58" s="32"/>
      <c r="N58" s="8"/>
      <c r="O58" s="8"/>
      <c r="P58" s="8"/>
    </row>
    <row r="59" spans="1:16">
      <c r="A59" s="110"/>
      <c r="B59" s="113"/>
      <c r="C59" s="4" t="s">
        <v>20</v>
      </c>
      <c r="D59" s="32">
        <f>'приложение 9'!H89+'приложение 9'!H90+'приложение 9'!H91</f>
        <v>6000.4720000000007</v>
      </c>
      <c r="E59" s="32">
        <f>'приложение 9'!I89+'приложение 9'!I90+'приложение 9'!I91</f>
        <v>6000.2369800000006</v>
      </c>
      <c r="F59" s="32">
        <f>'приложение 9'!J89+'приложение 9'!J90+'приложение 9'!J91</f>
        <v>1079.4661099999998</v>
      </c>
      <c r="G59" s="32">
        <f>'приложение 9'!K89+'приложение 9'!K90+'приложение 9'!K91</f>
        <v>957.08598000000006</v>
      </c>
      <c r="H59" s="32">
        <f>'приложение 9'!L89+'приложение 9'!L90+'приложение 9'!L91</f>
        <v>2881.5995699999999</v>
      </c>
      <c r="I59" s="32">
        <f>'приложение 9'!M89+'приложение 9'!M90+'приложение 9'!M91</f>
        <v>2858.7740800000001</v>
      </c>
      <c r="J59" s="32">
        <f>'приложение 9'!N89+'приложение 9'!N90+'приложение 9'!N91</f>
        <v>4099.3383300000005</v>
      </c>
      <c r="K59" s="32">
        <f>'приложение 9'!O89+'приложение 9'!O90+'приложение 9'!O91</f>
        <v>4084.9628399999997</v>
      </c>
      <c r="L59" s="32">
        <f>'приложение 9'!P89+'приложение 9'!P90+'приложение 9'!P91</f>
        <v>6058.3870000000006</v>
      </c>
      <c r="M59" s="32">
        <f>'приложение 9'!Q89+'приложение 9'!Q90+'приложение 9'!Q91</f>
        <v>5987.9505899999995</v>
      </c>
      <c r="N59" s="32">
        <f>'приложение 9'!R89+'приложение 9'!R90+'приложение 9'!R91</f>
        <v>5886.2400000000007</v>
      </c>
      <c r="O59" s="32">
        <f>'приложение 9'!S89+'приложение 9'!S90+'приложение 9'!S91</f>
        <v>5886.2400000000007</v>
      </c>
      <c r="P59" s="8"/>
    </row>
    <row r="60" spans="1:16">
      <c r="A60" s="110"/>
      <c r="B60" s="113"/>
      <c r="C60" s="4" t="s">
        <v>21</v>
      </c>
      <c r="D60" s="7"/>
      <c r="E60" s="7"/>
      <c r="F60" s="7"/>
      <c r="G60" s="7"/>
      <c r="H60" s="7"/>
      <c r="I60" s="7"/>
      <c r="J60" s="7"/>
      <c r="K60" s="7"/>
      <c r="L60" s="32"/>
      <c r="M60" s="32"/>
      <c r="N60" s="8"/>
      <c r="O60" s="8"/>
      <c r="P60" s="8"/>
    </row>
    <row r="61" spans="1:16">
      <c r="A61" s="110"/>
      <c r="B61" s="113"/>
      <c r="C61" s="4" t="s">
        <v>22</v>
      </c>
      <c r="D61" s="7"/>
      <c r="E61" s="7"/>
      <c r="F61" s="7"/>
      <c r="G61" s="7"/>
      <c r="H61" s="7"/>
      <c r="I61" s="7"/>
      <c r="J61" s="7"/>
      <c r="K61" s="7"/>
      <c r="L61" s="32"/>
      <c r="M61" s="32"/>
      <c r="N61" s="8"/>
      <c r="O61" s="8"/>
      <c r="P61" s="8"/>
    </row>
    <row r="62" spans="1:16">
      <c r="A62" s="111"/>
      <c r="B62" s="114"/>
      <c r="C62" s="4" t="s">
        <v>23</v>
      </c>
      <c r="D62" s="7"/>
      <c r="E62" s="7"/>
      <c r="F62" s="7"/>
      <c r="G62" s="7"/>
      <c r="H62" s="7"/>
      <c r="I62" s="7"/>
      <c r="J62" s="7"/>
      <c r="K62" s="7"/>
      <c r="L62" s="32"/>
      <c r="M62" s="32"/>
      <c r="N62" s="8"/>
      <c r="O62" s="8"/>
      <c r="P62" s="8"/>
    </row>
    <row r="63" spans="1:16" ht="14.25" customHeight="1">
      <c r="A63" s="109" t="s">
        <v>36</v>
      </c>
      <c r="B63" s="112" t="s">
        <v>40</v>
      </c>
      <c r="C63" s="11" t="s">
        <v>16</v>
      </c>
      <c r="D63" s="7"/>
      <c r="E63" s="7"/>
      <c r="F63" s="7"/>
      <c r="G63" s="7"/>
      <c r="H63" s="7"/>
      <c r="I63" s="7"/>
      <c r="J63" s="7"/>
      <c r="K63" s="7"/>
      <c r="L63" s="32"/>
      <c r="M63" s="32"/>
      <c r="N63" s="8"/>
      <c r="O63" s="8"/>
      <c r="P63" s="8"/>
    </row>
    <row r="64" spans="1:16">
      <c r="A64" s="110"/>
      <c r="B64" s="113"/>
      <c r="C64" s="11" t="s">
        <v>17</v>
      </c>
      <c r="D64" s="7"/>
      <c r="E64" s="7"/>
      <c r="F64" s="7"/>
      <c r="G64" s="7"/>
      <c r="H64" s="7"/>
      <c r="I64" s="7"/>
      <c r="J64" s="7"/>
      <c r="K64" s="7"/>
      <c r="L64" s="32"/>
      <c r="M64" s="32"/>
      <c r="N64" s="8"/>
      <c r="O64" s="8"/>
      <c r="P64" s="8"/>
    </row>
    <row r="65" spans="1:16">
      <c r="A65" s="110"/>
      <c r="B65" s="113"/>
      <c r="C65" s="11" t="s">
        <v>18</v>
      </c>
      <c r="D65" s="7"/>
      <c r="E65" s="7"/>
      <c r="F65" s="7"/>
      <c r="G65" s="7"/>
      <c r="H65" s="7"/>
      <c r="I65" s="7"/>
      <c r="J65" s="7"/>
      <c r="K65" s="7"/>
      <c r="L65" s="32"/>
      <c r="M65" s="32"/>
      <c r="N65" s="8"/>
      <c r="O65" s="8"/>
      <c r="P65" s="8"/>
    </row>
    <row r="66" spans="1:16">
      <c r="A66" s="110"/>
      <c r="B66" s="113"/>
      <c r="C66" s="11" t="s">
        <v>19</v>
      </c>
      <c r="D66" s="7"/>
      <c r="E66" s="7"/>
      <c r="F66" s="7"/>
      <c r="G66" s="7"/>
      <c r="H66" s="7"/>
      <c r="I66" s="7"/>
      <c r="J66" s="7"/>
      <c r="K66" s="7"/>
      <c r="L66" s="32"/>
      <c r="M66" s="32"/>
      <c r="N66" s="8"/>
      <c r="O66" s="8"/>
      <c r="P66" s="8"/>
    </row>
    <row r="67" spans="1:16">
      <c r="A67" s="110"/>
      <c r="B67" s="113"/>
      <c r="C67" s="11" t="s">
        <v>20</v>
      </c>
      <c r="D67" s="32">
        <f>'приложение 9'!H94+'приложение 9'!H95+'приложение 9'!H96+'приложение 9'!H97</f>
        <v>42187.023450000001</v>
      </c>
      <c r="E67" s="32">
        <f>'приложение 9'!I94+'приложение 9'!I95+'приложение 9'!I96+'приложение 9'!I97</f>
        <v>42049.73472</v>
      </c>
      <c r="F67" s="32">
        <f>'приложение 9'!J94+'приложение 9'!J95+'приложение 9'!J96+'приложение 9'!J97</f>
        <v>9985.4833099999996</v>
      </c>
      <c r="G67" s="32">
        <f>'приложение 9'!K94+'приложение 9'!K95+'приложение 9'!K96+'приложение 9'!K97</f>
        <v>9890.1187499999996</v>
      </c>
      <c r="H67" s="32">
        <f>'приложение 9'!L94+'приложение 9'!L95+'приложение 9'!L96+'приложение 9'!L97</f>
        <v>21562.583280000003</v>
      </c>
      <c r="I67" s="32">
        <f>'приложение 9'!M94+'приложение 9'!M95+'приложение 9'!M96+'приложение 9'!M97</f>
        <v>21537.017930000002</v>
      </c>
      <c r="J67" s="32">
        <f>'приложение 9'!N94+'приложение 9'!N95+'приложение 9'!N96+'приложение 9'!N97</f>
        <v>30826.738329999996</v>
      </c>
      <c r="K67" s="32">
        <f>'приложение 9'!O94+'приложение 9'!O95+'приложение 9'!O96+'приложение 9'!O97</f>
        <v>30737.07231</v>
      </c>
      <c r="L67" s="32">
        <f>'приложение 9'!P94+'приложение 9'!P95+'приложение 9'!P96+'приложение 9'!P97</f>
        <v>45232.518199999999</v>
      </c>
      <c r="M67" s="32">
        <f>'приложение 9'!Q94+'приложение 9'!Q95+'приложение 9'!Q96+'приложение 9'!Q97</f>
        <v>44838.992609999994</v>
      </c>
      <c r="N67" s="32">
        <f>'приложение 9'!R94+'приложение 9'!R95+'приложение 9'!R96+'приложение 9'!R97</f>
        <v>44897.56700000001</v>
      </c>
      <c r="O67" s="32">
        <f>'приложение 9'!S94+'приложение 9'!S95+'приложение 9'!S96+'приложение 9'!S97</f>
        <v>44897.56700000001</v>
      </c>
      <c r="P67" s="8"/>
    </row>
    <row r="68" spans="1:16">
      <c r="A68" s="110"/>
      <c r="B68" s="113"/>
      <c r="C68" s="11" t="s">
        <v>21</v>
      </c>
      <c r="D68" s="7"/>
      <c r="E68" s="7"/>
      <c r="F68" s="7"/>
      <c r="G68" s="7"/>
      <c r="H68" s="7"/>
      <c r="I68" s="7"/>
      <c r="J68" s="7"/>
      <c r="K68" s="7"/>
      <c r="L68" s="32"/>
      <c r="M68" s="32"/>
      <c r="N68" s="8"/>
      <c r="O68" s="8"/>
      <c r="P68" s="8"/>
    </row>
    <row r="69" spans="1:16">
      <c r="A69" s="110"/>
      <c r="B69" s="113"/>
      <c r="C69" s="11" t="s">
        <v>22</v>
      </c>
      <c r="D69" s="7"/>
      <c r="E69" s="7"/>
      <c r="F69" s="7"/>
      <c r="G69" s="7"/>
      <c r="H69" s="7"/>
      <c r="I69" s="7"/>
      <c r="J69" s="7"/>
      <c r="K69" s="7"/>
      <c r="L69" s="32"/>
      <c r="M69" s="32"/>
      <c r="N69" s="8"/>
      <c r="O69" s="8"/>
      <c r="P69" s="8"/>
    </row>
    <row r="70" spans="1:16">
      <c r="A70" s="111"/>
      <c r="B70" s="114"/>
      <c r="C70" s="11" t="s">
        <v>23</v>
      </c>
      <c r="D70" s="7"/>
      <c r="E70" s="7"/>
      <c r="F70" s="7"/>
      <c r="G70" s="7"/>
      <c r="H70" s="7"/>
      <c r="I70" s="7"/>
      <c r="J70" s="7"/>
      <c r="K70" s="7"/>
      <c r="L70" s="32"/>
      <c r="M70" s="32"/>
      <c r="N70" s="8"/>
      <c r="O70" s="8"/>
      <c r="P70" s="8"/>
    </row>
    <row r="71" spans="1:16" ht="14.25" customHeight="1">
      <c r="A71" s="109" t="s">
        <v>37</v>
      </c>
      <c r="B71" s="112" t="s">
        <v>39</v>
      </c>
      <c r="C71" s="11" t="s">
        <v>16</v>
      </c>
      <c r="D71" s="7"/>
      <c r="E71" s="7"/>
      <c r="F71" s="7"/>
      <c r="G71" s="7"/>
      <c r="H71" s="7"/>
      <c r="I71" s="7"/>
      <c r="J71" s="7"/>
      <c r="K71" s="7"/>
      <c r="L71" s="32"/>
      <c r="M71" s="32"/>
      <c r="N71" s="8"/>
      <c r="O71" s="8"/>
      <c r="P71" s="8"/>
    </row>
    <row r="72" spans="1:16">
      <c r="A72" s="110"/>
      <c r="B72" s="113"/>
      <c r="C72" s="11" t="s">
        <v>17</v>
      </c>
      <c r="D72" s="7"/>
      <c r="E72" s="7"/>
      <c r="F72" s="7"/>
      <c r="G72" s="7"/>
      <c r="H72" s="7"/>
      <c r="I72" s="7"/>
      <c r="J72" s="7"/>
      <c r="K72" s="7"/>
      <c r="L72" s="32"/>
      <c r="M72" s="32"/>
      <c r="N72" s="8"/>
      <c r="O72" s="8"/>
      <c r="P72" s="8"/>
    </row>
    <row r="73" spans="1:16">
      <c r="A73" s="110"/>
      <c r="B73" s="113"/>
      <c r="C73" s="11" t="s">
        <v>18</v>
      </c>
      <c r="D73" s="7"/>
      <c r="E73" s="7"/>
      <c r="F73" s="7"/>
      <c r="G73" s="7"/>
      <c r="H73" s="7"/>
      <c r="I73" s="7"/>
      <c r="J73" s="7"/>
      <c r="K73" s="7"/>
      <c r="L73" s="32"/>
      <c r="M73" s="32"/>
      <c r="N73" s="8"/>
      <c r="O73" s="8"/>
      <c r="P73" s="8"/>
    </row>
    <row r="74" spans="1:16">
      <c r="A74" s="110"/>
      <c r="B74" s="113"/>
      <c r="C74" s="11" t="s">
        <v>19</v>
      </c>
      <c r="D74" s="7"/>
      <c r="E74" s="7"/>
      <c r="F74" s="7"/>
      <c r="G74" s="7"/>
      <c r="H74" s="7"/>
      <c r="I74" s="7"/>
      <c r="J74" s="7"/>
      <c r="K74" s="7"/>
      <c r="L74" s="32"/>
      <c r="M74" s="32"/>
      <c r="N74" s="8"/>
      <c r="O74" s="8"/>
      <c r="P74" s="8"/>
    </row>
    <row r="75" spans="1:16">
      <c r="A75" s="110"/>
      <c r="B75" s="113"/>
      <c r="C75" s="11" t="s">
        <v>20</v>
      </c>
      <c r="D75" s="32">
        <f>'приложение 9'!H100</f>
        <v>119.458</v>
      </c>
      <c r="E75" s="32">
        <f>'приложение 9'!I100</f>
        <v>36.838999999999999</v>
      </c>
      <c r="F75" s="32">
        <f>'приложение 9'!J100</f>
        <v>0</v>
      </c>
      <c r="G75" s="32">
        <f>'приложение 9'!K100</f>
        <v>0</v>
      </c>
      <c r="H75" s="32">
        <f>'приложение 9'!L100</f>
        <v>42.5</v>
      </c>
      <c r="I75" s="32">
        <f>'приложение 9'!M100</f>
        <v>42.5</v>
      </c>
      <c r="J75" s="32">
        <f>'приложение 9'!N100</f>
        <v>161.458</v>
      </c>
      <c r="K75" s="32">
        <f>'приложение 9'!O100</f>
        <v>161.458</v>
      </c>
      <c r="L75" s="32">
        <f>'приложение 9'!P100</f>
        <v>162.357</v>
      </c>
      <c r="M75" s="32">
        <f>'приложение 9'!Q100</f>
        <v>162.357</v>
      </c>
      <c r="N75" s="32">
        <f>'приложение 9'!R100</f>
        <v>0</v>
      </c>
      <c r="O75" s="32">
        <f>'приложение 9'!S100</f>
        <v>0</v>
      </c>
      <c r="P75" s="8"/>
    </row>
    <row r="76" spans="1:16">
      <c r="A76" s="110"/>
      <c r="B76" s="113"/>
      <c r="C76" s="11" t="s">
        <v>21</v>
      </c>
      <c r="D76" s="7"/>
      <c r="E76" s="7"/>
      <c r="F76" s="7"/>
      <c r="G76" s="7"/>
      <c r="H76" s="7"/>
      <c r="I76" s="7"/>
      <c r="J76" s="7"/>
      <c r="K76" s="7"/>
      <c r="L76" s="32"/>
      <c r="M76" s="32"/>
      <c r="N76" s="8"/>
      <c r="O76" s="8"/>
      <c r="P76" s="8"/>
    </row>
    <row r="77" spans="1:16">
      <c r="A77" s="110"/>
      <c r="B77" s="113"/>
      <c r="C77" s="11" t="s">
        <v>22</v>
      </c>
      <c r="D77" s="7"/>
      <c r="E77" s="7"/>
      <c r="F77" s="7"/>
      <c r="G77" s="7"/>
      <c r="H77" s="7"/>
      <c r="I77" s="7"/>
      <c r="J77" s="7"/>
      <c r="K77" s="7"/>
      <c r="L77" s="32"/>
      <c r="M77" s="32"/>
      <c r="N77" s="8"/>
      <c r="O77" s="8"/>
      <c r="P77" s="8"/>
    </row>
    <row r="78" spans="1:16">
      <c r="A78" s="111"/>
      <c r="B78" s="114"/>
      <c r="C78" s="11" t="s">
        <v>23</v>
      </c>
      <c r="D78" s="7"/>
      <c r="E78" s="7"/>
      <c r="F78" s="7"/>
      <c r="G78" s="7"/>
      <c r="H78" s="7"/>
      <c r="I78" s="7"/>
      <c r="J78" s="7"/>
      <c r="K78" s="7"/>
      <c r="L78" s="32"/>
      <c r="M78" s="32"/>
      <c r="N78" s="8"/>
      <c r="O78" s="8"/>
      <c r="P78" s="8"/>
    </row>
    <row r="79" spans="1:16" ht="14.25" customHeight="1">
      <c r="A79" s="109" t="s">
        <v>711</v>
      </c>
      <c r="B79" s="112" t="s">
        <v>585</v>
      </c>
      <c r="C79" s="11" t="s">
        <v>16</v>
      </c>
      <c r="D79" s="7"/>
      <c r="E79" s="7"/>
      <c r="F79" s="7"/>
      <c r="G79" s="7"/>
      <c r="H79" s="7"/>
      <c r="I79" s="7"/>
      <c r="J79" s="7"/>
      <c r="K79" s="7"/>
      <c r="L79" s="32"/>
      <c r="M79" s="32"/>
      <c r="N79" s="8"/>
      <c r="O79" s="8"/>
      <c r="P79" s="8"/>
    </row>
    <row r="80" spans="1:16">
      <c r="A80" s="110"/>
      <c r="B80" s="113"/>
      <c r="C80" s="11" t="s">
        <v>17</v>
      </c>
      <c r="D80" s="7"/>
      <c r="E80" s="7"/>
      <c r="F80" s="7"/>
      <c r="G80" s="7"/>
      <c r="H80" s="7"/>
      <c r="I80" s="7"/>
      <c r="J80" s="7"/>
      <c r="K80" s="7"/>
      <c r="L80" s="32"/>
      <c r="M80" s="32"/>
      <c r="N80" s="8"/>
      <c r="O80" s="8"/>
      <c r="P80" s="8"/>
    </row>
    <row r="81" spans="1:16">
      <c r="A81" s="110"/>
      <c r="B81" s="113"/>
      <c r="C81" s="11" t="s">
        <v>18</v>
      </c>
      <c r="D81" s="7"/>
      <c r="E81" s="7"/>
      <c r="F81" s="7"/>
      <c r="G81" s="7"/>
      <c r="H81" s="7"/>
      <c r="I81" s="7"/>
      <c r="J81" s="7"/>
      <c r="K81" s="7"/>
      <c r="L81" s="32"/>
      <c r="M81" s="32"/>
      <c r="N81" s="8"/>
      <c r="O81" s="8"/>
      <c r="P81" s="8"/>
    </row>
    <row r="82" spans="1:16">
      <c r="A82" s="110"/>
      <c r="B82" s="113"/>
      <c r="C82" s="11" t="s">
        <v>19</v>
      </c>
      <c r="D82" s="7"/>
      <c r="E82" s="7"/>
      <c r="F82" s="7"/>
      <c r="G82" s="7"/>
      <c r="H82" s="7"/>
      <c r="I82" s="7"/>
      <c r="J82" s="7"/>
      <c r="K82" s="7"/>
      <c r="L82" s="32"/>
      <c r="M82" s="32"/>
      <c r="N82" s="8"/>
      <c r="O82" s="8"/>
      <c r="P82" s="8"/>
    </row>
    <row r="83" spans="1:16">
      <c r="A83" s="110"/>
      <c r="B83" s="113"/>
      <c r="C83" s="11" t="s">
        <v>20</v>
      </c>
      <c r="D83" s="32">
        <f>'приложение 9'!H103+'приложение 9'!H104</f>
        <v>0</v>
      </c>
      <c r="E83" s="32">
        <f>'приложение 9'!I103+'приложение 9'!I104</f>
        <v>0</v>
      </c>
      <c r="F83" s="32">
        <f>'приложение 9'!J103+'приложение 9'!J104</f>
        <v>0</v>
      </c>
      <c r="G83" s="32">
        <f>'приложение 9'!K103+'приложение 9'!K104</f>
        <v>0</v>
      </c>
      <c r="H83" s="32">
        <f>'приложение 9'!L103+'приложение 9'!L104</f>
        <v>0</v>
      </c>
      <c r="I83" s="32">
        <f>'приложение 9'!M103+'приложение 9'!M104</f>
        <v>0</v>
      </c>
      <c r="J83" s="32">
        <f>'приложение 9'!N103+'приложение 9'!N104</f>
        <v>0</v>
      </c>
      <c r="K83" s="32">
        <f>'приложение 9'!O103+'приложение 9'!O104</f>
        <v>0</v>
      </c>
      <c r="L83" s="32">
        <f>'приложение 9'!P103+'приложение 9'!P104</f>
        <v>8.2924699999999998</v>
      </c>
      <c r="M83" s="32">
        <f>'приложение 9'!Q103+'приложение 9'!Q104</f>
        <v>2.6810100000000001</v>
      </c>
      <c r="N83" s="32">
        <f>'приложение 9'!R103+'приложение 9'!R104</f>
        <v>0</v>
      </c>
      <c r="O83" s="32">
        <f>'приложение 9'!S103+'приложение 9'!S104</f>
        <v>0</v>
      </c>
      <c r="P83" s="8"/>
    </row>
    <row r="84" spans="1:16">
      <c r="A84" s="110"/>
      <c r="B84" s="113"/>
      <c r="C84" s="11" t="s">
        <v>21</v>
      </c>
      <c r="D84" s="7"/>
      <c r="E84" s="7"/>
      <c r="F84" s="7"/>
      <c r="G84" s="7"/>
      <c r="H84" s="7"/>
      <c r="I84" s="7"/>
      <c r="J84" s="7"/>
      <c r="K84" s="7"/>
      <c r="L84" s="32"/>
      <c r="M84" s="32"/>
      <c r="N84" s="8"/>
      <c r="O84" s="8"/>
      <c r="P84" s="8"/>
    </row>
    <row r="85" spans="1:16">
      <c r="A85" s="110"/>
      <c r="B85" s="113"/>
      <c r="C85" s="11" t="s">
        <v>22</v>
      </c>
      <c r="D85" s="7"/>
      <c r="E85" s="7"/>
      <c r="F85" s="7"/>
      <c r="G85" s="7"/>
      <c r="H85" s="7"/>
      <c r="I85" s="7"/>
      <c r="J85" s="7"/>
      <c r="K85" s="7"/>
      <c r="L85" s="32"/>
      <c r="M85" s="32"/>
      <c r="N85" s="8"/>
      <c r="O85" s="8"/>
      <c r="P85" s="8"/>
    </row>
    <row r="86" spans="1:16">
      <c r="A86" s="111"/>
      <c r="B86" s="114"/>
      <c r="C86" s="11" t="s">
        <v>23</v>
      </c>
      <c r="D86" s="7"/>
      <c r="E86" s="7"/>
      <c r="F86" s="7"/>
      <c r="G86" s="7"/>
      <c r="H86" s="7"/>
      <c r="I86" s="7"/>
      <c r="J86" s="7"/>
      <c r="K86" s="7"/>
      <c r="L86" s="32"/>
      <c r="M86" s="32"/>
      <c r="N86" s="8"/>
      <c r="O86" s="8"/>
      <c r="P86" s="8"/>
    </row>
    <row r="87" spans="1:16" ht="14.25" customHeight="1">
      <c r="A87" s="109" t="s">
        <v>712</v>
      </c>
      <c r="B87" s="112" t="s">
        <v>38</v>
      </c>
      <c r="C87" s="52" t="s">
        <v>16</v>
      </c>
      <c r="D87" s="7"/>
      <c r="E87" s="7"/>
      <c r="F87" s="7"/>
      <c r="G87" s="7"/>
      <c r="H87" s="7"/>
      <c r="I87" s="7"/>
      <c r="J87" s="7"/>
      <c r="K87" s="7"/>
      <c r="L87" s="32"/>
      <c r="M87" s="32"/>
      <c r="N87" s="8"/>
      <c r="O87" s="8"/>
      <c r="P87" s="8"/>
    </row>
    <row r="88" spans="1:16">
      <c r="A88" s="110"/>
      <c r="B88" s="113"/>
      <c r="C88" s="52" t="s">
        <v>17</v>
      </c>
      <c r="D88" s="7"/>
      <c r="E88" s="7"/>
      <c r="F88" s="7"/>
      <c r="G88" s="7"/>
      <c r="H88" s="7"/>
      <c r="I88" s="7"/>
      <c r="J88" s="7"/>
      <c r="K88" s="7"/>
      <c r="L88" s="32"/>
      <c r="M88" s="32"/>
      <c r="N88" s="8"/>
      <c r="O88" s="8"/>
      <c r="P88" s="8"/>
    </row>
    <row r="89" spans="1:16">
      <c r="A89" s="110"/>
      <c r="B89" s="113"/>
      <c r="C89" s="52" t="s">
        <v>18</v>
      </c>
      <c r="D89" s="7"/>
      <c r="E89" s="7"/>
      <c r="F89" s="7"/>
      <c r="G89" s="7"/>
      <c r="H89" s="7"/>
      <c r="I89" s="7"/>
      <c r="J89" s="7"/>
      <c r="K89" s="7"/>
      <c r="L89" s="32"/>
      <c r="M89" s="32"/>
      <c r="N89" s="8"/>
      <c r="O89" s="8"/>
      <c r="P89" s="8"/>
    </row>
    <row r="90" spans="1:16">
      <c r="A90" s="110"/>
      <c r="B90" s="113"/>
      <c r="C90" s="52" t="s">
        <v>19</v>
      </c>
      <c r="D90" s="7"/>
      <c r="E90" s="7"/>
      <c r="F90" s="7"/>
      <c r="G90" s="7"/>
      <c r="H90" s="7"/>
      <c r="I90" s="7"/>
      <c r="J90" s="7"/>
      <c r="K90" s="7"/>
      <c r="L90" s="32"/>
      <c r="M90" s="32"/>
      <c r="N90" s="8"/>
      <c r="O90" s="8"/>
      <c r="P90" s="8"/>
    </row>
    <row r="91" spans="1:16">
      <c r="A91" s="110"/>
      <c r="B91" s="113"/>
      <c r="C91" s="52" t="s">
        <v>20</v>
      </c>
      <c r="D91" s="32">
        <f>'приложение 9'!H107+'приложение 9'!H108</f>
        <v>71.805180000000007</v>
      </c>
      <c r="E91" s="32">
        <f>'приложение 9'!I107+'приложение 9'!I108</f>
        <v>71.805180000000007</v>
      </c>
      <c r="F91" s="32">
        <f>'приложение 9'!J107+'приложение 9'!J108</f>
        <v>0</v>
      </c>
      <c r="G91" s="32">
        <f>'приложение 9'!K107+'приложение 9'!K108</f>
        <v>0</v>
      </c>
      <c r="H91" s="32">
        <f>'приложение 9'!L107+'приложение 9'!L108</f>
        <v>0</v>
      </c>
      <c r="I91" s="32">
        <f>'приложение 9'!M107+'приложение 9'!M108</f>
        <v>0</v>
      </c>
      <c r="J91" s="32">
        <f>'приложение 9'!N107+'приложение 9'!N108</f>
        <v>0</v>
      </c>
      <c r="K91" s="32">
        <f>'приложение 9'!O107+'приложение 9'!O108</f>
        <v>0</v>
      </c>
      <c r="L91" s="32">
        <f>'приложение 9'!P107+'приложение 9'!P108</f>
        <v>2.42</v>
      </c>
      <c r="M91" s="32">
        <f>'приложение 9'!Q107+'приложение 9'!Q108</f>
        <v>2.42</v>
      </c>
      <c r="N91" s="32">
        <f>'приложение 9'!R107+'приложение 9'!R108</f>
        <v>0</v>
      </c>
      <c r="O91" s="32">
        <f>'приложение 9'!S107+'приложение 9'!S108</f>
        <v>0</v>
      </c>
      <c r="P91" s="8"/>
    </row>
    <row r="92" spans="1:16">
      <c r="A92" s="110"/>
      <c r="B92" s="113"/>
      <c r="C92" s="52" t="s">
        <v>21</v>
      </c>
      <c r="D92" s="7"/>
      <c r="E92" s="7"/>
      <c r="F92" s="7"/>
      <c r="G92" s="7"/>
      <c r="H92" s="7"/>
      <c r="I92" s="7"/>
      <c r="J92" s="7"/>
      <c r="K92" s="7"/>
      <c r="L92" s="32"/>
      <c r="M92" s="32"/>
      <c r="N92" s="8"/>
      <c r="O92" s="8"/>
      <c r="P92" s="8"/>
    </row>
    <row r="93" spans="1:16">
      <c r="A93" s="110"/>
      <c r="B93" s="113"/>
      <c r="C93" s="52" t="s">
        <v>22</v>
      </c>
      <c r="D93" s="7"/>
      <c r="E93" s="7"/>
      <c r="F93" s="7"/>
      <c r="G93" s="7"/>
      <c r="H93" s="7"/>
      <c r="I93" s="7"/>
      <c r="J93" s="7"/>
      <c r="K93" s="7"/>
      <c r="L93" s="32"/>
      <c r="M93" s="32"/>
      <c r="N93" s="8"/>
      <c r="O93" s="8"/>
      <c r="P93" s="8"/>
    </row>
    <row r="94" spans="1:16">
      <c r="A94" s="111"/>
      <c r="B94" s="114"/>
      <c r="C94" s="52" t="s">
        <v>23</v>
      </c>
      <c r="D94" s="7"/>
      <c r="E94" s="7"/>
      <c r="F94" s="7"/>
      <c r="G94" s="7"/>
      <c r="H94" s="7"/>
      <c r="I94" s="7"/>
      <c r="J94" s="7"/>
      <c r="K94" s="7"/>
      <c r="L94" s="32"/>
      <c r="M94" s="32"/>
      <c r="N94" s="8"/>
      <c r="O94" s="8"/>
      <c r="P94" s="8"/>
    </row>
    <row r="95" spans="1:16" ht="20.25" customHeight="1">
      <c r="A95" s="109" t="s">
        <v>713</v>
      </c>
      <c r="B95" s="112" t="s">
        <v>603</v>
      </c>
      <c r="C95" s="52" t="s">
        <v>16</v>
      </c>
      <c r="D95" s="7"/>
      <c r="E95" s="7"/>
      <c r="F95" s="7"/>
      <c r="G95" s="7"/>
      <c r="H95" s="7"/>
      <c r="I95" s="7"/>
      <c r="J95" s="7"/>
      <c r="K95" s="7"/>
      <c r="L95" s="32"/>
      <c r="M95" s="32"/>
      <c r="N95" s="8"/>
      <c r="O95" s="8"/>
      <c r="P95" s="8"/>
    </row>
    <row r="96" spans="1:16" ht="20.25" customHeight="1">
      <c r="A96" s="110"/>
      <c r="B96" s="113"/>
      <c r="C96" s="52" t="s">
        <v>17</v>
      </c>
      <c r="D96" s="7"/>
      <c r="E96" s="7"/>
      <c r="F96" s="7"/>
      <c r="G96" s="7"/>
      <c r="H96" s="7"/>
      <c r="I96" s="7"/>
      <c r="J96" s="7"/>
      <c r="K96" s="7"/>
      <c r="L96" s="32"/>
      <c r="M96" s="32"/>
      <c r="N96" s="8"/>
      <c r="O96" s="8"/>
      <c r="P96" s="8"/>
    </row>
    <row r="97" spans="1:16" ht="20.25" customHeight="1">
      <c r="A97" s="110"/>
      <c r="B97" s="113"/>
      <c r="C97" s="52" t="s">
        <v>18</v>
      </c>
      <c r="D97" s="7"/>
      <c r="E97" s="7"/>
      <c r="F97" s="7"/>
      <c r="G97" s="7"/>
      <c r="H97" s="7"/>
      <c r="I97" s="7"/>
      <c r="J97" s="7"/>
      <c r="K97" s="7"/>
      <c r="L97" s="32"/>
      <c r="M97" s="32"/>
      <c r="N97" s="8"/>
      <c r="O97" s="8"/>
      <c r="P97" s="8"/>
    </row>
    <row r="98" spans="1:16" ht="20.25" customHeight="1">
      <c r="A98" s="110"/>
      <c r="B98" s="113"/>
      <c r="C98" s="52" t="s">
        <v>19</v>
      </c>
      <c r="D98" s="7"/>
      <c r="E98" s="7"/>
      <c r="F98" s="7"/>
      <c r="G98" s="7"/>
      <c r="H98" s="7"/>
      <c r="I98" s="7"/>
      <c r="J98" s="7"/>
      <c r="K98" s="7"/>
      <c r="L98" s="32"/>
      <c r="M98" s="32"/>
      <c r="N98" s="8"/>
      <c r="O98" s="8"/>
      <c r="P98" s="8"/>
    </row>
    <row r="99" spans="1:16" ht="20.25" customHeight="1">
      <c r="A99" s="110"/>
      <c r="B99" s="113"/>
      <c r="C99" s="52" t="s">
        <v>20</v>
      </c>
      <c r="D99" s="32">
        <f>'приложение 9'!H111</f>
        <v>0</v>
      </c>
      <c r="E99" s="32">
        <f>'приложение 9'!I111</f>
        <v>0</v>
      </c>
      <c r="F99" s="32">
        <f>'приложение 9'!J111</f>
        <v>0</v>
      </c>
      <c r="G99" s="32">
        <f>'приложение 9'!K111</f>
        <v>0</v>
      </c>
      <c r="H99" s="32">
        <f>'приложение 9'!L111</f>
        <v>0</v>
      </c>
      <c r="I99" s="32">
        <f>'приложение 9'!M111</f>
        <v>0</v>
      </c>
      <c r="J99" s="32">
        <f>'приложение 9'!N111</f>
        <v>50.7</v>
      </c>
      <c r="K99" s="32">
        <f>'приложение 9'!O111</f>
        <v>50.7</v>
      </c>
      <c r="L99" s="32">
        <f>'приложение 9'!P111</f>
        <v>50.7</v>
      </c>
      <c r="M99" s="32">
        <f>'приложение 9'!Q111</f>
        <v>50.7</v>
      </c>
      <c r="N99" s="32">
        <f>'приложение 9'!R111</f>
        <v>0</v>
      </c>
      <c r="O99" s="32">
        <f>'приложение 9'!S111</f>
        <v>0</v>
      </c>
      <c r="P99" s="8"/>
    </row>
    <row r="100" spans="1:16" ht="20.25" customHeight="1">
      <c r="A100" s="110"/>
      <c r="B100" s="113"/>
      <c r="C100" s="52" t="s">
        <v>21</v>
      </c>
      <c r="D100" s="7"/>
      <c r="E100" s="7"/>
      <c r="F100" s="7"/>
      <c r="G100" s="7"/>
      <c r="H100" s="7"/>
      <c r="I100" s="7"/>
      <c r="J100" s="7"/>
      <c r="K100" s="7"/>
      <c r="L100" s="32"/>
      <c r="M100" s="32"/>
      <c r="N100" s="8"/>
      <c r="O100" s="8"/>
      <c r="P100" s="8"/>
    </row>
    <row r="101" spans="1:16" ht="20.25" customHeight="1">
      <c r="A101" s="110"/>
      <c r="B101" s="113"/>
      <c r="C101" s="52" t="s">
        <v>22</v>
      </c>
      <c r="D101" s="7"/>
      <c r="E101" s="7"/>
      <c r="F101" s="7"/>
      <c r="G101" s="7"/>
      <c r="H101" s="7"/>
      <c r="I101" s="7"/>
      <c r="J101" s="7"/>
      <c r="K101" s="7"/>
      <c r="L101" s="32"/>
      <c r="M101" s="32"/>
      <c r="N101" s="8"/>
      <c r="O101" s="8"/>
      <c r="P101" s="8"/>
    </row>
    <row r="102" spans="1:16" ht="20.25" customHeight="1">
      <c r="A102" s="111"/>
      <c r="B102" s="114"/>
      <c r="C102" s="52" t="s">
        <v>23</v>
      </c>
      <c r="D102" s="7"/>
      <c r="E102" s="7"/>
      <c r="F102" s="7"/>
      <c r="G102" s="7"/>
      <c r="H102" s="7"/>
      <c r="I102" s="7"/>
      <c r="J102" s="7"/>
      <c r="K102" s="7"/>
      <c r="L102" s="32"/>
      <c r="M102" s="32"/>
      <c r="N102" s="8"/>
      <c r="O102" s="8"/>
      <c r="P102" s="8"/>
    </row>
    <row r="103" spans="1:16" ht="13.5" customHeight="1">
      <c r="A103" s="106" t="s">
        <v>25</v>
      </c>
      <c r="B103" s="106" t="s">
        <v>29</v>
      </c>
      <c r="C103" s="4" t="s">
        <v>16</v>
      </c>
      <c r="D103" s="32">
        <f t="shared" ref="D103:E103" si="10">D105+D106+D107</f>
        <v>540851.25144000002</v>
      </c>
      <c r="E103" s="32">
        <f t="shared" si="10"/>
        <v>533306.8409699999</v>
      </c>
      <c r="F103" s="32">
        <f t="shared" ref="F103:K103" si="11">F105+F106+F107</f>
        <v>111961.39914999998</v>
      </c>
      <c r="G103" s="32">
        <f t="shared" si="11"/>
        <v>111774.02176999999</v>
      </c>
      <c r="H103" s="32">
        <f t="shared" si="11"/>
        <v>288993.76319999999</v>
      </c>
      <c r="I103" s="32">
        <f t="shared" si="11"/>
        <v>288991.36194999999</v>
      </c>
      <c r="J103" s="32">
        <f t="shared" si="11"/>
        <v>396816.86523999996</v>
      </c>
      <c r="K103" s="32">
        <f t="shared" si="11"/>
        <v>395051.45930999995</v>
      </c>
      <c r="L103" s="32">
        <f>L105+L106+L107</f>
        <v>567960.47988999996</v>
      </c>
      <c r="M103" s="32">
        <f>M105+M106+M107</f>
        <v>563613.54195999994</v>
      </c>
      <c r="N103" s="32">
        <f t="shared" ref="N103:O103" si="12">N105+N106+N107</f>
        <v>507118.53299999994</v>
      </c>
      <c r="O103" s="32">
        <f t="shared" si="12"/>
        <v>507118.53299999994</v>
      </c>
      <c r="P103" s="8"/>
    </row>
    <row r="104" spans="1:16">
      <c r="A104" s="106"/>
      <c r="B104" s="106"/>
      <c r="C104" s="4" t="s">
        <v>17</v>
      </c>
      <c r="D104" s="7"/>
      <c r="E104" s="7"/>
      <c r="F104" s="7"/>
      <c r="G104" s="7"/>
      <c r="H104" s="7"/>
      <c r="I104" s="7"/>
      <c r="J104" s="7"/>
      <c r="K104" s="7"/>
      <c r="L104" s="32"/>
      <c r="M104" s="32"/>
      <c r="N104" s="8"/>
      <c r="O104" s="8"/>
      <c r="P104" s="8"/>
    </row>
    <row r="105" spans="1:16">
      <c r="A105" s="106"/>
      <c r="B105" s="106"/>
      <c r="C105" s="4" t="s">
        <v>26</v>
      </c>
      <c r="D105" s="32">
        <f>'приложение 9'!H20+'приложение 9'!H21+'приложение 9'!H22+'приложение 9'!H23</f>
        <v>3272.7</v>
      </c>
      <c r="E105" s="32">
        <f>'приложение 9'!I20+'приложение 9'!I21+'приложение 9'!I22+'приложение 9'!I23</f>
        <v>3272.7</v>
      </c>
      <c r="F105" s="32">
        <f>'приложение 9'!J20+'приложение 9'!J21+'приложение 9'!J22+'приложение 9'!J23</f>
        <v>0</v>
      </c>
      <c r="G105" s="32">
        <f>'приложение 9'!K20+'приложение 9'!K21+'приложение 9'!K22+'приложение 9'!K23</f>
        <v>0</v>
      </c>
      <c r="H105" s="32">
        <f>'приложение 9'!L20+'приложение 9'!L21+'приложение 9'!L22+'приложение 9'!L23</f>
        <v>0</v>
      </c>
      <c r="I105" s="32">
        <f>'приложение 9'!M20+'приложение 9'!M21+'приложение 9'!M22+'приложение 9'!M23</f>
        <v>0</v>
      </c>
      <c r="J105" s="32">
        <f>'приложение 9'!N20+'приложение 9'!N21+'приложение 9'!N22+'приложение 9'!N23</f>
        <v>1740.59869</v>
      </c>
      <c r="K105" s="32">
        <f>'приложение 9'!O20+'приложение 9'!O21+'приложение 9'!O22+'приложение 9'!O23</f>
        <v>0</v>
      </c>
      <c r="L105" s="32">
        <f>'приложение 9'!P20+'приложение 9'!P21+'приложение 9'!P22+'приложение 9'!P23</f>
        <v>8268.06</v>
      </c>
      <c r="M105" s="32">
        <f>'приложение 9'!Q20+'приложение 9'!Q21+'приложение 9'!Q22+'приложение 9'!Q23</f>
        <v>6811.1792099999993</v>
      </c>
      <c r="N105" s="32">
        <f>'приложение 9'!R20+'приложение 9'!R21+'приложение 9'!R22+'приложение 9'!R23</f>
        <v>0</v>
      </c>
      <c r="O105" s="32">
        <f>'приложение 9'!S20+'приложение 9'!S21+'приложение 9'!S22+'приложение 9'!S23</f>
        <v>0</v>
      </c>
      <c r="P105" s="8"/>
    </row>
    <row r="106" spans="1:16">
      <c r="A106" s="106"/>
      <c r="B106" s="106"/>
      <c r="C106" s="4" t="s">
        <v>19</v>
      </c>
      <c r="D106" s="32">
        <f>'приложение 9'!H14+'приложение 9'!H15+'приложение 9'!H16+'приложение 9'!H17+'приложение 9'!H18+'приложение 9'!H19+'приложение 9'!H24+'приложение 9'!H25+'приложение 9'!H26+'приложение 9'!H27+'приложение 9'!H28+'приложение 9'!H29+'приложение 9'!H30+'приложение 9'!H31+'приложение 9'!H32+'приложение 9'!H33+'приложение 9'!H34+'приложение 9'!H35+'приложение 9'!H36+'приложение 9'!H37+'приложение 9'!H38+'приложение 9'!H39+'приложение 9'!H40+'приложение 9'!H41+'приложение 9'!H42+'приложение 9'!H43</f>
        <v>324113.01173999999</v>
      </c>
      <c r="E106" s="32">
        <f>'приложение 9'!I14+'приложение 9'!I15+'приложение 9'!I16+'приложение 9'!I17+'приложение 9'!I18+'приложение 9'!I19+'приложение 9'!I24+'приложение 9'!I25+'приложение 9'!I26+'приложение 9'!I27+'приложение 9'!I28+'приложение 9'!I29+'приложение 9'!I30+'приложение 9'!I31+'приложение 9'!I32+'приложение 9'!I33+'приложение 9'!I34+'приложение 9'!I35+'приложение 9'!I36+'приложение 9'!I37+'приложение 9'!I38+'приложение 9'!I39+'приложение 9'!I40+'приложение 9'!I41+'приложение 9'!I42+'приложение 9'!I43</f>
        <v>320814.73567999993</v>
      </c>
      <c r="F106" s="32">
        <f>'приложение 9'!J14+'приложение 9'!J15+'приложение 9'!J16+'приложение 9'!J17+'приложение 9'!J18+'приложение 9'!J19+'приложение 9'!J24+'приложение 9'!J25+'приложение 9'!J26+'приложение 9'!J27+'приложение 9'!J28+'приложение 9'!J29+'приложение 9'!J30+'приложение 9'!J31+'приложение 9'!J32+'приложение 9'!J33+'приложение 9'!J34+'приложение 9'!J35+'приложение 9'!J36+'приложение 9'!J37+'приложение 9'!J38+'приложение 9'!J39+'приложение 9'!J40+'приложение 9'!J41+'приложение 9'!J42+'приложение 9'!J43</f>
        <v>57900.05255</v>
      </c>
      <c r="G106" s="32">
        <f>'приложение 9'!K14+'приложение 9'!K15+'приложение 9'!K16+'приложение 9'!K17+'приложение 9'!K18+'приложение 9'!K19+'приложение 9'!K24+'приложение 9'!K25+'приложение 9'!K26+'приложение 9'!K27+'приложение 9'!K28+'приложение 9'!K29+'приложение 9'!K30+'приложение 9'!K31+'приложение 9'!K32+'приложение 9'!K33+'приложение 9'!K34+'приложение 9'!K35+'приложение 9'!K36+'приложение 9'!K37+'приложение 9'!K38+'приложение 9'!K39+'приложение 9'!K40+'приложение 9'!K41+'приложение 9'!K42+'приложение 9'!K43</f>
        <v>57761.478230000001</v>
      </c>
      <c r="H106" s="32">
        <f>'приложение 9'!L14+'приложение 9'!L15+'приложение 9'!L16+'приложение 9'!L17+'приложение 9'!L18+'приложение 9'!L19+'приложение 9'!L24+'приложение 9'!L25+'приложение 9'!L26+'приложение 9'!L27+'приложение 9'!L28+'приложение 9'!L29+'приложение 9'!L30+'приложение 9'!L31+'приложение 9'!L32+'приложение 9'!L33+'приложение 9'!L34+'приложение 9'!L35+'приложение 9'!L36+'приложение 9'!L37+'приложение 9'!L38+'приложение 9'!L39+'приложение 9'!L40+'приложение 9'!L41+'приложение 9'!L42+'приложение 9'!L43</f>
        <v>170495.92802999998</v>
      </c>
      <c r="I106" s="32">
        <f>'приложение 9'!M14+'приложение 9'!M15+'приложение 9'!M16+'приложение 9'!M17+'приложение 9'!M18+'приложение 9'!M19+'приложение 9'!M24+'приложение 9'!M25+'приложение 9'!M26+'приложение 9'!M27+'приложение 9'!M28+'приложение 9'!M29+'приложение 9'!M30+'приложение 9'!M31+'приложение 9'!M32+'приложение 9'!M33+'приложение 9'!M34+'приложение 9'!M35+'приложение 9'!M36+'приложение 9'!M37+'приложение 9'!M38+'приложение 9'!M39+'приложение 9'!M40+'приложение 9'!M41+'приложение 9'!M42+'приложение 9'!M43</f>
        <v>170493.52677999999</v>
      </c>
      <c r="J106" s="32">
        <f>'приложение 9'!N14+'приложение 9'!N15+'приложение 9'!N16+'приложение 9'!N17+'приложение 9'!N18+'приложение 9'!N19+'приложение 9'!N24+'приложение 9'!N25+'приложение 9'!N26+'приложение 9'!N27+'приложение 9'!N28+'приложение 9'!N29+'приложение 9'!N30+'приложение 9'!N31+'приложение 9'!N32+'приложение 9'!N33+'приложение 9'!N34+'приложение 9'!N35+'приложение 9'!N36+'приложение 9'!N37+'приложение 9'!N38+'приложение 9'!N39+'приложение 9'!N40+'приложение 9'!N41+'приложение 9'!N42+'приложение 9'!N43</f>
        <v>235254.80300000001</v>
      </c>
      <c r="K106" s="32">
        <f>'приложение 9'!O14+'приложение 9'!O15+'приложение 9'!O16+'приложение 9'!O17+'приложение 9'!O18+'приложение 9'!O19+'приложение 9'!O24+'приложение 9'!O25+'приложение 9'!O26+'приложение 9'!O27+'приложение 9'!O28+'приложение 9'!O29+'приложение 9'!O30+'приложение 9'!O31+'приложение 9'!O32+'приложение 9'!O33+'приложение 9'!O34+'приложение 9'!O35+'приложение 9'!O36+'приложение 9'!O37+'приложение 9'!O38+'приложение 9'!O39+'приложение 9'!O40+'приложение 9'!O41+'приложение 9'!O42+'приложение 9'!O43</f>
        <v>235254.74875999999</v>
      </c>
      <c r="L106" s="32">
        <f>'приложение 9'!P14+'приложение 9'!P15+'приложение 9'!P16+'приложение 9'!P17+'приложение 9'!P18+'приложение 9'!P19+'приложение 9'!P24+'приложение 9'!P25+'приложение 9'!P26+'приложение 9'!P27+'приложение 9'!P28+'приложение 9'!P29+'приложение 9'!P30+'приложение 9'!P31+'приложение 9'!P32+'приложение 9'!P33+'приложение 9'!P34+'приложение 9'!P35+'приложение 9'!P36+'приложение 9'!P37+'приложение 9'!P38+'приложение 9'!P39+'приложение 9'!P40+'приложение 9'!P41+'приложение 9'!P42+'приложение 9'!P43</f>
        <v>337545.45376</v>
      </c>
      <c r="M106" s="32">
        <f>'приложение 9'!Q14+'приложение 9'!Q15+'приложение 9'!Q16+'приложение 9'!Q17+'приложение 9'!Q18+'приложение 9'!Q19+'приложение 9'!Q24+'приложение 9'!Q25+'приложение 9'!Q26+'приложение 9'!Q27+'приложение 9'!Q28+'приложение 9'!Q29+'приложение 9'!Q30+'приложение 9'!Q31+'приложение 9'!Q32+'приложение 9'!Q33+'приложение 9'!Q34+'приложение 9'!Q35+'приложение 9'!Q36+'приложение 9'!Q37+'приложение 9'!Q38+'приложение 9'!Q39+'приложение 9'!Q40+'приложение 9'!Q41+'приложение 9'!Q42+'приложение 9'!Q43</f>
        <v>334992.36826999998</v>
      </c>
      <c r="N106" s="32">
        <f>'приложение 9'!R14+'приложение 9'!R15+'приложение 9'!R16+'приложение 9'!R17+'приложение 9'!R18+'приложение 9'!R19+'приложение 9'!R24+'приложение 9'!R25+'приложение 9'!R26+'приложение 9'!R27+'приложение 9'!R28+'приложение 9'!R29+'приложение 9'!R30+'приложение 9'!R31+'приложение 9'!R32+'приложение 9'!R33+'приложение 9'!R34+'приложение 9'!R35+'приложение 9'!R36+'приложение 9'!R37+'приложение 9'!R38+'приложение 9'!R39+'приложение 9'!R40+'приложение 9'!R41+'приложение 9'!R42+'приложение 9'!R43</f>
        <v>295735.7</v>
      </c>
      <c r="O106" s="32">
        <f>'приложение 9'!S14+'приложение 9'!S15+'приложение 9'!S16+'приложение 9'!S17+'приложение 9'!S18+'приложение 9'!S19+'приложение 9'!S24+'приложение 9'!S25+'приложение 9'!S26+'приложение 9'!S27+'приложение 9'!S28+'приложение 9'!S29+'приложение 9'!S30+'приложение 9'!S31+'приложение 9'!S32+'приложение 9'!S33+'приложение 9'!S34+'приложение 9'!S35+'приложение 9'!S36+'приложение 9'!S37+'приложение 9'!S38+'приложение 9'!S39+'приложение 9'!S40+'приложение 9'!S41+'приложение 9'!S42+'приложение 9'!S43</f>
        <v>295735.7</v>
      </c>
      <c r="P106" s="8"/>
    </row>
    <row r="107" spans="1:16">
      <c r="A107" s="106"/>
      <c r="B107" s="106"/>
      <c r="C107" s="4" t="s">
        <v>20</v>
      </c>
      <c r="D107" s="32">
        <f>'приложение 9'!H44+'приложение 9'!H45+'приложение 9'!H46+'приложение 9'!H47+'приложение 9'!H48+'приложение 9'!H49+'приложение 9'!H50+'приложение 9'!H51+'приложение 9'!H52+'приложение 9'!H53+'приложение 9'!H54+'приложение 9'!H55+'приложение 9'!H56+'приложение 9'!H57+'приложение 9'!H58+'приложение 9'!H59+'приложение 9'!H60+'приложение 9'!H61+'приложение 9'!H62+'приложение 9'!H63+'приложение 9'!H64+'приложение 9'!H65+'приложение 9'!H66+'приложение 9'!H67+'приложение 9'!H68+'приложение 9'!H69+'приложение 9'!H70+'приложение 9'!H71</f>
        <v>213465.53969999999</v>
      </c>
      <c r="E107" s="32">
        <f>'приложение 9'!I44+'приложение 9'!I45+'приложение 9'!I46+'приложение 9'!I47+'приложение 9'!I48+'приложение 9'!I49+'приложение 9'!I50+'приложение 9'!I51+'приложение 9'!I52+'приложение 9'!I53+'приложение 9'!I54+'приложение 9'!I55+'приложение 9'!I56+'приложение 9'!I57+'приложение 9'!I58+'приложение 9'!I59+'приложение 9'!I60+'приложение 9'!I61+'приложение 9'!I62+'приложение 9'!I63+'приложение 9'!I64+'приложение 9'!I65+'приложение 9'!I66+'приложение 9'!I67+'приложение 9'!I68+'приложение 9'!I69+'приложение 9'!I70+'приложение 9'!I71</f>
        <v>209219.40528999994</v>
      </c>
      <c r="F107" s="32">
        <f>'приложение 9'!J44+'приложение 9'!J45+'приложение 9'!J46+'приложение 9'!J47+'приложение 9'!J48+'приложение 9'!J49+'приложение 9'!J50+'приложение 9'!J51+'приложение 9'!J52+'приложение 9'!J53+'приложение 9'!J54+'приложение 9'!J55+'приложение 9'!J56+'приложение 9'!J57+'приложение 9'!J58+'приложение 9'!J59+'приложение 9'!J60+'приложение 9'!J61+'приложение 9'!J62+'приложение 9'!J63+'приложение 9'!J64+'приложение 9'!J65+'приложение 9'!J66+'приложение 9'!J67+'приложение 9'!J68+'приложение 9'!J69+'приложение 9'!J70+'приложение 9'!J71</f>
        <v>54061.34659999999</v>
      </c>
      <c r="G107" s="32">
        <f>'приложение 9'!K44+'приложение 9'!K45+'приложение 9'!K46+'приложение 9'!K47+'приложение 9'!K48+'приложение 9'!K49+'приложение 9'!K50+'приложение 9'!K51+'приложение 9'!K52+'приложение 9'!K53+'приложение 9'!K54+'приложение 9'!K55+'приложение 9'!K56+'приложение 9'!K57+'приложение 9'!K58+'приложение 9'!K59+'приложение 9'!K60+'приложение 9'!K61+'приложение 9'!K62+'приложение 9'!K63+'приложение 9'!K64+'приложение 9'!K65+'приложение 9'!K66+'приложение 9'!K67+'приложение 9'!K68+'приложение 9'!K69+'приложение 9'!K70+'приложение 9'!K71</f>
        <v>54012.543539999999</v>
      </c>
      <c r="H107" s="32">
        <f>'приложение 9'!L44+'приложение 9'!L45+'приложение 9'!L46+'приложение 9'!L47+'приложение 9'!L48+'приложение 9'!L49+'приложение 9'!L50+'приложение 9'!L51+'приложение 9'!L52+'приложение 9'!L53+'приложение 9'!L54+'приложение 9'!L55+'приложение 9'!L56+'приложение 9'!L57+'приложение 9'!L58+'приложение 9'!L59+'приложение 9'!L60+'приложение 9'!L61+'приложение 9'!L62+'приложение 9'!L63+'приложение 9'!L64+'приложение 9'!L65+'приложение 9'!L66+'приложение 9'!L67+'приложение 9'!L68+'приложение 9'!L69+'приложение 9'!L70+'приложение 9'!L71</f>
        <v>118497.83517000001</v>
      </c>
      <c r="I107" s="32">
        <f>'приложение 9'!M44+'приложение 9'!M45+'приложение 9'!M46+'приложение 9'!M47+'приложение 9'!M48+'приложение 9'!M49+'приложение 9'!M50+'приложение 9'!M51+'приложение 9'!M52+'приложение 9'!M53+'приложение 9'!M54+'приложение 9'!M55+'приложение 9'!M56+'приложение 9'!M57+'приложение 9'!M58+'приложение 9'!M59+'приложение 9'!M60+'приложение 9'!M61+'приложение 9'!M62+'приложение 9'!M63+'приложение 9'!M64+'приложение 9'!M65+'приложение 9'!M66+'приложение 9'!M67+'приложение 9'!M68+'приложение 9'!M69+'приложение 9'!M70+'приложение 9'!M71</f>
        <v>118497.83517000001</v>
      </c>
      <c r="J107" s="32">
        <f>'приложение 9'!N44+'приложение 9'!N45+'приложение 9'!N46+'приложение 9'!N47+'приложение 9'!N48+'приложение 9'!N49+'приложение 9'!N50+'приложение 9'!N51+'приложение 9'!N52+'приложение 9'!N53+'приложение 9'!N54+'приложение 9'!N55+'приложение 9'!N56+'приложение 9'!N57+'приложение 9'!N58+'приложение 9'!N59+'приложение 9'!N60+'приложение 9'!N61+'приложение 9'!N62+'приложение 9'!N63+'приложение 9'!N64+'приложение 9'!N65+'приложение 9'!N66+'приложение 9'!N67+'приложение 9'!N68+'приложение 9'!N69+'приложение 9'!N70+'приложение 9'!N71</f>
        <v>159821.46354999996</v>
      </c>
      <c r="K107" s="32">
        <f>'приложение 9'!O44+'приложение 9'!O45+'приложение 9'!O46+'приложение 9'!O47+'приложение 9'!O48+'приложение 9'!O49+'приложение 9'!O50+'приложение 9'!O51+'приложение 9'!O52+'приложение 9'!O53+'приложение 9'!O54+'приложение 9'!O55+'приложение 9'!O56+'приложение 9'!O57+'приложение 9'!O58+'приложение 9'!O59+'приложение 9'!O60+'приложение 9'!O61+'приложение 9'!O62+'приложение 9'!O63+'приложение 9'!O64+'приложение 9'!O65+'приложение 9'!O66+'приложение 9'!O67+'приложение 9'!O68+'приложение 9'!O69+'приложение 9'!O70+'приложение 9'!O71</f>
        <v>159796.71054999996</v>
      </c>
      <c r="L107" s="32">
        <f>'приложение 9'!P44+'приложение 9'!P45+'приложение 9'!P46+'приложение 9'!P47+'приложение 9'!P48+'приложение 9'!P49+'приложение 9'!P50+'приложение 9'!P51+'приложение 9'!P52+'приложение 9'!P53+'приложение 9'!P54+'приложение 9'!P55+'приложение 9'!P56+'приложение 9'!P57+'приложение 9'!P58+'приложение 9'!P59+'приложение 9'!P60+'приложение 9'!P61+'приложение 9'!P62+'приложение 9'!P63+'приложение 9'!P64+'приложение 9'!P65+'приложение 9'!P66+'приложение 9'!P67+'приложение 9'!P68+'приложение 9'!P69+'приложение 9'!P70+'приложение 9'!P71</f>
        <v>222146.96612999993</v>
      </c>
      <c r="M107" s="32">
        <f>'приложение 9'!Q44+'приложение 9'!Q45+'приложение 9'!Q46+'приложение 9'!Q47+'приложение 9'!Q48+'приложение 9'!Q49+'приложение 9'!Q50+'приложение 9'!Q51+'приложение 9'!Q52+'приложение 9'!Q53+'приложение 9'!Q54+'приложение 9'!Q55+'приложение 9'!Q56+'приложение 9'!Q57+'приложение 9'!Q58+'приложение 9'!Q59+'приложение 9'!Q60+'приложение 9'!Q61+'приложение 9'!Q62+'приложение 9'!Q63+'приложение 9'!Q64+'приложение 9'!Q65+'приложение 9'!Q66+'приложение 9'!Q67+'приложение 9'!Q68+'приложение 9'!Q69+'приложение 9'!Q70+'приложение 9'!Q71</f>
        <v>221809.99447999996</v>
      </c>
      <c r="N107" s="32">
        <f>'приложение 9'!R44+'приложение 9'!R45+'приложение 9'!R46+'приложение 9'!R47+'приложение 9'!R48+'приложение 9'!R49+'приложение 9'!R50+'приложение 9'!R51+'приложение 9'!R52+'приложение 9'!R53+'приложение 9'!R54+'приложение 9'!R55+'приложение 9'!R56+'приложение 9'!R57+'приложение 9'!R58+'приложение 9'!R59+'приложение 9'!R60+'приложение 9'!R61+'приложение 9'!R62+'приложение 9'!R63+'приложение 9'!R64+'приложение 9'!R65+'приложение 9'!R66+'приложение 9'!R67+'приложение 9'!R68+'приложение 9'!R69+'приложение 9'!R70+'приложение 9'!R71</f>
        <v>211382.83299999996</v>
      </c>
      <c r="O107" s="32">
        <f>'приложение 9'!S44+'приложение 9'!S45+'приложение 9'!S46+'приложение 9'!S47+'приложение 9'!S48+'приложение 9'!S49+'приложение 9'!S50+'приложение 9'!S51+'приложение 9'!S52+'приложение 9'!S53+'приложение 9'!S54+'приложение 9'!S55+'приложение 9'!S56+'приложение 9'!S57+'приложение 9'!S58+'приложение 9'!S59+'приложение 9'!S60+'приложение 9'!S61+'приложение 9'!S62+'приложение 9'!S63+'приложение 9'!S64+'приложение 9'!S65+'приложение 9'!S66+'приложение 9'!S67+'приложение 9'!S68+'приложение 9'!S69+'приложение 9'!S70+'приложение 9'!S71</f>
        <v>211382.83299999996</v>
      </c>
      <c r="P107" s="8"/>
    </row>
    <row r="108" spans="1:16">
      <c r="A108" s="106"/>
      <c r="B108" s="106"/>
      <c r="C108" s="4" t="s">
        <v>21</v>
      </c>
      <c r="D108" s="7"/>
      <c r="E108" s="7"/>
      <c r="F108" s="7"/>
      <c r="G108" s="7"/>
      <c r="H108" s="7"/>
      <c r="I108" s="7"/>
      <c r="J108" s="7"/>
      <c r="K108" s="7"/>
      <c r="L108" s="32"/>
      <c r="M108" s="32"/>
      <c r="N108" s="8"/>
      <c r="O108" s="8"/>
      <c r="P108" s="8"/>
    </row>
    <row r="109" spans="1:16">
      <c r="A109" s="106"/>
      <c r="B109" s="106"/>
      <c r="C109" s="4" t="s">
        <v>22</v>
      </c>
      <c r="D109" s="7"/>
      <c r="E109" s="7"/>
      <c r="F109" s="7"/>
      <c r="G109" s="7"/>
      <c r="H109" s="7"/>
      <c r="I109" s="7"/>
      <c r="J109" s="7"/>
      <c r="K109" s="7"/>
      <c r="L109" s="32"/>
      <c r="M109" s="32"/>
      <c r="N109" s="8"/>
      <c r="O109" s="8"/>
      <c r="P109" s="8"/>
    </row>
    <row r="110" spans="1:16">
      <c r="A110" s="106"/>
      <c r="B110" s="106"/>
      <c r="C110" s="4" t="s">
        <v>23</v>
      </c>
      <c r="D110" s="7"/>
      <c r="E110" s="7"/>
      <c r="F110" s="7"/>
      <c r="G110" s="7"/>
      <c r="H110" s="7"/>
      <c r="I110" s="7"/>
      <c r="J110" s="7"/>
      <c r="K110" s="7"/>
      <c r="L110" s="32"/>
      <c r="M110" s="32"/>
      <c r="N110" s="8"/>
      <c r="O110" s="8"/>
      <c r="P110" s="8"/>
    </row>
    <row r="111" spans="1:16" ht="13.5" customHeight="1">
      <c r="A111" s="107" t="s">
        <v>15</v>
      </c>
      <c r="B111" s="108" t="s">
        <v>529</v>
      </c>
      <c r="C111" s="11" t="s">
        <v>16</v>
      </c>
      <c r="D111" s="34">
        <f t="shared" ref="D111:E111" si="13">SUM(D113:D118)</f>
        <v>65258.608999999997</v>
      </c>
      <c r="E111" s="34">
        <f t="shared" si="13"/>
        <v>64259.610959999991</v>
      </c>
      <c r="F111" s="34">
        <f t="shared" ref="F111:K111" si="14">SUM(F113:F118)</f>
        <v>12732.36773</v>
      </c>
      <c r="G111" s="34">
        <f t="shared" si="14"/>
        <v>12573.91668</v>
      </c>
      <c r="H111" s="34">
        <f t="shared" si="14"/>
        <v>32075.238390000002</v>
      </c>
      <c r="I111" s="34">
        <f t="shared" si="14"/>
        <v>31944.741290000002</v>
      </c>
      <c r="J111" s="34">
        <f t="shared" si="14"/>
        <v>45512.086160000006</v>
      </c>
      <c r="K111" s="34">
        <f t="shared" si="14"/>
        <v>45365.926550000004</v>
      </c>
      <c r="L111" s="34">
        <f>SUM(L113:L118)</f>
        <v>73582.872000000003</v>
      </c>
      <c r="M111" s="34">
        <f>SUM(M113:M118)</f>
        <v>67268.795463000002</v>
      </c>
      <c r="N111" s="34">
        <f t="shared" ref="N111:O111" si="15">SUM(N113:N118)</f>
        <v>60841.618000000009</v>
      </c>
      <c r="O111" s="34">
        <f t="shared" si="15"/>
        <v>60841.618000000009</v>
      </c>
      <c r="P111" s="5"/>
    </row>
    <row r="112" spans="1:16">
      <c r="A112" s="107"/>
      <c r="B112" s="108"/>
      <c r="C112" s="11" t="s">
        <v>17</v>
      </c>
      <c r="D112" s="69"/>
      <c r="E112" s="69"/>
      <c r="F112" s="37"/>
      <c r="G112" s="37"/>
      <c r="H112" s="37"/>
      <c r="I112" s="37"/>
      <c r="J112" s="37"/>
      <c r="K112" s="37"/>
      <c r="L112" s="30"/>
      <c r="M112" s="30"/>
      <c r="N112" s="3"/>
      <c r="O112" s="3"/>
      <c r="P112" s="5"/>
    </row>
    <row r="113" spans="1:16">
      <c r="A113" s="107"/>
      <c r="B113" s="108"/>
      <c r="C113" s="11" t="s">
        <v>18</v>
      </c>
      <c r="D113" s="33">
        <f t="shared" ref="D113:E113" si="16">D121+D129+D137</f>
        <v>428.98</v>
      </c>
      <c r="E113" s="33">
        <f t="shared" si="16"/>
        <v>419.98</v>
      </c>
      <c r="F113" s="33">
        <f t="shared" ref="F113:K113" si="17">F121+F129+F137</f>
        <v>0</v>
      </c>
      <c r="G113" s="33">
        <f t="shared" si="17"/>
        <v>0</v>
      </c>
      <c r="H113" s="33">
        <f t="shared" si="17"/>
        <v>0</v>
      </c>
      <c r="I113" s="33">
        <f t="shared" si="17"/>
        <v>0</v>
      </c>
      <c r="J113" s="33">
        <f t="shared" si="17"/>
        <v>100</v>
      </c>
      <c r="K113" s="33">
        <f t="shared" si="17"/>
        <v>100</v>
      </c>
      <c r="L113" s="33">
        <f>L121+L129+L137</f>
        <v>207.2</v>
      </c>
      <c r="M113" s="33">
        <f>M121+M129+M137</f>
        <v>117.2</v>
      </c>
      <c r="N113" s="33">
        <f t="shared" ref="N113:O113" si="18">N121+N129+N137</f>
        <v>19.100000000000001</v>
      </c>
      <c r="O113" s="33">
        <f t="shared" si="18"/>
        <v>19.100000000000001</v>
      </c>
      <c r="P113" s="6"/>
    </row>
    <row r="114" spans="1:16">
      <c r="A114" s="107"/>
      <c r="B114" s="108"/>
      <c r="C114" s="11" t="s">
        <v>19</v>
      </c>
      <c r="D114" s="32">
        <f t="shared" ref="D114:E114" si="19">D122+D130+D138+D146</f>
        <v>5896.8160000000007</v>
      </c>
      <c r="E114" s="32">
        <f t="shared" si="19"/>
        <v>4978.7350499999984</v>
      </c>
      <c r="F114" s="32">
        <f t="shared" ref="F114:K114" si="20">F122+F130+F138+F146</f>
        <v>414.87800000000004</v>
      </c>
      <c r="G114" s="32">
        <f t="shared" si="20"/>
        <v>414.87800000000004</v>
      </c>
      <c r="H114" s="32">
        <f t="shared" si="20"/>
        <v>972.19568000000004</v>
      </c>
      <c r="I114" s="32">
        <f t="shared" si="20"/>
        <v>972.19568000000004</v>
      </c>
      <c r="J114" s="32">
        <f t="shared" si="20"/>
        <v>2119.9886799999995</v>
      </c>
      <c r="K114" s="32">
        <f t="shared" si="20"/>
        <v>2119.9886799999995</v>
      </c>
      <c r="L114" s="32">
        <f>L122+L130+L138+L146</f>
        <v>11209.227999999999</v>
      </c>
      <c r="M114" s="32">
        <f>M122+M130+M138+M146</f>
        <v>6087.9040000000005</v>
      </c>
      <c r="N114" s="32">
        <f t="shared" ref="N114:O114" si="21">N122+N130+N138+N146</f>
        <v>102.8</v>
      </c>
      <c r="O114" s="32">
        <f t="shared" si="21"/>
        <v>102.8</v>
      </c>
      <c r="P114" s="8"/>
    </row>
    <row r="115" spans="1:16">
      <c r="A115" s="107"/>
      <c r="B115" s="108"/>
      <c r="C115" s="11" t="s">
        <v>20</v>
      </c>
      <c r="D115" s="32">
        <f t="shared" ref="D115:E115" si="22">D123+D131+D139+D147</f>
        <v>58732.812999999995</v>
      </c>
      <c r="E115" s="32">
        <f t="shared" si="22"/>
        <v>58660.93802999999</v>
      </c>
      <c r="F115" s="32">
        <f t="shared" ref="F115:K115" si="23">F123+F131+F139+F147</f>
        <v>12317.489729999999</v>
      </c>
      <c r="G115" s="32">
        <f t="shared" si="23"/>
        <v>12159.03868</v>
      </c>
      <c r="H115" s="32">
        <f t="shared" si="23"/>
        <v>31103.042710000002</v>
      </c>
      <c r="I115" s="32">
        <f t="shared" si="23"/>
        <v>30972.545610000001</v>
      </c>
      <c r="J115" s="32">
        <f t="shared" si="23"/>
        <v>43292.097480000004</v>
      </c>
      <c r="K115" s="32">
        <f t="shared" si="23"/>
        <v>43145.937870000002</v>
      </c>
      <c r="L115" s="32">
        <f>L123+L131+L139+L147</f>
        <v>62166.443999999996</v>
      </c>
      <c r="M115" s="32">
        <f>M123+M131+M139+M147</f>
        <v>61063.691462999996</v>
      </c>
      <c r="N115" s="32">
        <f t="shared" ref="N115:O115" si="24">N123+N131+N139+N147</f>
        <v>60719.718000000008</v>
      </c>
      <c r="O115" s="32">
        <f t="shared" si="24"/>
        <v>60719.718000000008</v>
      </c>
      <c r="P115" s="8"/>
    </row>
    <row r="116" spans="1:16">
      <c r="A116" s="107"/>
      <c r="B116" s="108"/>
      <c r="C116" s="11" t="s">
        <v>21</v>
      </c>
      <c r="D116" s="32">
        <f t="shared" ref="D116:E116" si="25">D132</f>
        <v>200</v>
      </c>
      <c r="E116" s="32">
        <f t="shared" si="25"/>
        <v>199.95787999999999</v>
      </c>
      <c r="F116" s="32">
        <f t="shared" ref="F116:K116" si="26">F132</f>
        <v>0</v>
      </c>
      <c r="G116" s="32">
        <f t="shared" si="26"/>
        <v>0</v>
      </c>
      <c r="H116" s="32">
        <f t="shared" si="26"/>
        <v>0</v>
      </c>
      <c r="I116" s="32">
        <f t="shared" si="26"/>
        <v>0</v>
      </c>
      <c r="J116" s="32">
        <f t="shared" si="26"/>
        <v>0</v>
      </c>
      <c r="K116" s="32">
        <f t="shared" si="26"/>
        <v>0</v>
      </c>
      <c r="L116" s="32">
        <f>L132</f>
        <v>0</v>
      </c>
      <c r="M116" s="32">
        <f>M132</f>
        <v>0</v>
      </c>
      <c r="N116" s="32">
        <f t="shared" ref="N116:O116" si="27">N132</f>
        <v>0</v>
      </c>
      <c r="O116" s="32">
        <f t="shared" si="27"/>
        <v>0</v>
      </c>
      <c r="P116" s="8"/>
    </row>
    <row r="117" spans="1:16">
      <c r="A117" s="107"/>
      <c r="B117" s="108"/>
      <c r="C117" s="11" t="s">
        <v>22</v>
      </c>
      <c r="D117" s="7"/>
      <c r="E117" s="7"/>
      <c r="F117" s="7"/>
      <c r="G117" s="7"/>
      <c r="H117" s="7"/>
      <c r="I117" s="7"/>
      <c r="J117" s="7"/>
      <c r="K117" s="7"/>
      <c r="L117" s="32"/>
      <c r="M117" s="32"/>
      <c r="N117" s="8"/>
      <c r="O117" s="8"/>
      <c r="P117" s="8"/>
    </row>
    <row r="118" spans="1:16">
      <c r="A118" s="107"/>
      <c r="B118" s="108"/>
      <c r="C118" s="11" t="s">
        <v>23</v>
      </c>
      <c r="D118" s="7"/>
      <c r="E118" s="7"/>
      <c r="F118" s="7"/>
      <c r="G118" s="7"/>
      <c r="H118" s="7"/>
      <c r="I118" s="7"/>
      <c r="J118" s="7"/>
      <c r="K118" s="7"/>
      <c r="L118" s="32"/>
      <c r="M118" s="32"/>
      <c r="N118" s="8"/>
      <c r="O118" s="8"/>
      <c r="P118" s="8"/>
    </row>
    <row r="119" spans="1:16" ht="13.5" customHeight="1">
      <c r="A119" s="106" t="s">
        <v>25</v>
      </c>
      <c r="B119" s="106" t="s">
        <v>536</v>
      </c>
      <c r="C119" s="11" t="s">
        <v>16</v>
      </c>
      <c r="D119" s="32">
        <f t="shared" ref="D119:E119" si="28">SUM(D120:D126)</f>
        <v>10015.845939999997</v>
      </c>
      <c r="E119" s="32">
        <f t="shared" si="28"/>
        <v>10002.745939999997</v>
      </c>
      <c r="F119" s="32">
        <f t="shared" ref="F119:K119" si="29">SUM(F120:F126)</f>
        <v>1821.0790199999999</v>
      </c>
      <c r="G119" s="32">
        <f t="shared" si="29"/>
        <v>1821.0790199999999</v>
      </c>
      <c r="H119" s="32">
        <f t="shared" si="29"/>
        <v>4730.4215600000007</v>
      </c>
      <c r="I119" s="32">
        <f t="shared" si="29"/>
        <v>4690.4215600000007</v>
      </c>
      <c r="J119" s="32">
        <f t="shared" si="29"/>
        <v>7351.2744200000006</v>
      </c>
      <c r="K119" s="32">
        <f t="shared" si="29"/>
        <v>7351.2744200000006</v>
      </c>
      <c r="L119" s="32">
        <f>SUM(L120:L126)</f>
        <v>10500.660079999998</v>
      </c>
      <c r="M119" s="32">
        <f>SUM(M120:M126)</f>
        <v>10410.659079999998</v>
      </c>
      <c r="N119" s="32">
        <f t="shared" ref="N119:O119" si="30">SUM(N120:N126)</f>
        <v>9610.0189999999984</v>
      </c>
      <c r="O119" s="32">
        <f t="shared" si="30"/>
        <v>9610.0189999999984</v>
      </c>
      <c r="P119" s="8"/>
    </row>
    <row r="120" spans="1:16">
      <c r="A120" s="106"/>
      <c r="B120" s="106"/>
      <c r="C120" s="11" t="s">
        <v>17</v>
      </c>
      <c r="D120" s="32"/>
      <c r="E120" s="32"/>
      <c r="F120" s="32"/>
      <c r="G120" s="32"/>
      <c r="H120" s="32"/>
      <c r="I120" s="32"/>
      <c r="J120" s="32"/>
      <c r="K120" s="32"/>
      <c r="L120" s="32"/>
      <c r="M120" s="32"/>
      <c r="N120" s="8"/>
      <c r="O120" s="8"/>
      <c r="P120" s="8"/>
    </row>
    <row r="121" spans="1:16">
      <c r="A121" s="106"/>
      <c r="B121" s="106"/>
      <c r="C121" s="11" t="s">
        <v>26</v>
      </c>
      <c r="D121" s="32">
        <f>'приложение 9'!H119+'приложение 9'!H120+'приложение 9'!H121+'приложение 9'!H122</f>
        <v>24</v>
      </c>
      <c r="E121" s="32">
        <f>'приложение 9'!I119+'приложение 9'!I120+'приложение 9'!I121+'приложение 9'!I122</f>
        <v>15</v>
      </c>
      <c r="F121" s="32">
        <f>'приложение 9'!J119+'приложение 9'!J120+'приложение 9'!J121+'приложение 9'!J122</f>
        <v>0</v>
      </c>
      <c r="G121" s="32">
        <f>'приложение 9'!K119+'приложение 9'!K120+'приложение 9'!K121+'приложение 9'!K122</f>
        <v>0</v>
      </c>
      <c r="H121" s="32">
        <f>'приложение 9'!L119+'приложение 9'!L120+'приложение 9'!L121+'приложение 9'!L122</f>
        <v>0</v>
      </c>
      <c r="I121" s="32">
        <f>'приложение 9'!M119+'приложение 9'!M120+'приложение 9'!M121+'приложение 9'!M122</f>
        <v>0</v>
      </c>
      <c r="J121" s="32">
        <f>'приложение 9'!N119+'приложение 9'!N120+'приложение 9'!N121+'приложение 9'!N122</f>
        <v>100</v>
      </c>
      <c r="K121" s="32">
        <f>'приложение 9'!O119+'приложение 9'!O120+'приложение 9'!O121+'приложение 9'!O122</f>
        <v>100</v>
      </c>
      <c r="L121" s="32">
        <f>'приложение 9'!P119+'приложение 9'!P120+'приложение 9'!P121+'приложение 9'!P122</f>
        <v>207.2</v>
      </c>
      <c r="M121" s="32">
        <f>'приложение 9'!Q119+'приложение 9'!Q120+'приложение 9'!Q121+'приложение 9'!Q122</f>
        <v>117.2</v>
      </c>
      <c r="N121" s="32">
        <f>'приложение 9'!R119+'приложение 9'!R120+'приложение 9'!R121+'приложение 9'!R122</f>
        <v>19.100000000000001</v>
      </c>
      <c r="O121" s="32">
        <f>'приложение 9'!S119+'приложение 9'!S120+'приложение 9'!S121+'приложение 9'!S122</f>
        <v>19.100000000000001</v>
      </c>
      <c r="P121" s="8"/>
    </row>
    <row r="122" spans="1:16">
      <c r="A122" s="106"/>
      <c r="B122" s="106"/>
      <c r="C122" s="11" t="s">
        <v>19</v>
      </c>
      <c r="D122" s="32">
        <f>'приложение 9'!H116+'приложение 9'!H117+'приложение 9'!H118+'приложение 9'!H123+'приложение 9'!H124+'приложение 9'!H125</f>
        <v>556.82994000000008</v>
      </c>
      <c r="E122" s="32">
        <f>'приложение 9'!I116+'приложение 9'!I117+'приложение 9'!I118+'приложение 9'!I123+'приложение 9'!I124+'приложение 9'!I125</f>
        <v>556.82994000000008</v>
      </c>
      <c r="F122" s="32">
        <f>'приложение 9'!J116+'приложение 9'!J117+'приложение 9'!J118+'приложение 9'!J123+'приложение 9'!J124+'приложение 9'!J125</f>
        <v>20.811</v>
      </c>
      <c r="G122" s="32">
        <f>'приложение 9'!K116+'приложение 9'!K117+'приложение 9'!K118+'приложение 9'!K123+'приложение 9'!K124+'приложение 9'!K125</f>
        <v>20.811</v>
      </c>
      <c r="H122" s="32">
        <f>'приложение 9'!L116+'приложение 9'!L117+'приложение 9'!L118+'приложение 9'!L123+'приложение 9'!L124+'приложение 9'!L125</f>
        <v>63.768999999999998</v>
      </c>
      <c r="I122" s="32">
        <f>'приложение 9'!M116+'приложение 9'!M117+'приложение 9'!M118+'приложение 9'!M123+'приложение 9'!M124+'приложение 9'!M125</f>
        <v>63.768999999999998</v>
      </c>
      <c r="J122" s="32">
        <f>'приложение 9'!N116+'приложение 9'!N117+'приложение 9'!N118+'приложение 9'!N123+'приложение 9'!N124+'приложение 9'!N125</f>
        <v>311.05399999999997</v>
      </c>
      <c r="K122" s="32">
        <f>'приложение 9'!O116+'приложение 9'!O117+'приложение 9'!O118+'приложение 9'!O123+'приложение 9'!O124+'приложение 9'!O125</f>
        <v>311.05399999999997</v>
      </c>
      <c r="L122" s="32">
        <f>'приложение 9'!P116+'приложение 9'!P117+'приложение 9'!P118+'приложение 9'!P123+'приложение 9'!P124+'приложение 9'!P125</f>
        <v>814.346</v>
      </c>
      <c r="M122" s="32">
        <f>'приложение 9'!Q116+'приложение 9'!Q117+'приложение 9'!Q118+'приложение 9'!Q123+'приложение 9'!Q124+'приложение 9'!Q125</f>
        <v>814.34500000000003</v>
      </c>
      <c r="N122" s="32">
        <f>'приложение 9'!R116+'приложение 9'!R117+'приложение 9'!R118+'приложение 9'!R123+'приложение 9'!R124+'приложение 9'!R125</f>
        <v>0</v>
      </c>
      <c r="O122" s="32">
        <f>'приложение 9'!S116+'приложение 9'!S117+'приложение 9'!S118+'приложение 9'!S123+'приложение 9'!S124+'приложение 9'!S125</f>
        <v>0</v>
      </c>
      <c r="P122" s="8"/>
    </row>
    <row r="123" spans="1:16">
      <c r="A123" s="106"/>
      <c r="B123" s="106"/>
      <c r="C123" s="11" t="s">
        <v>20</v>
      </c>
      <c r="D123" s="32">
        <f>'приложение 9'!H126+'приложение 9'!H127+'приложение 9'!H128+'приложение 9'!H129+'приложение 9'!H130+'приложение 9'!H131+'приложение 9'!H132+'приложение 9'!H133+'приложение 9'!H134</f>
        <v>9435.0159999999978</v>
      </c>
      <c r="E123" s="32">
        <f>'приложение 9'!I126+'приложение 9'!I127+'приложение 9'!I128+'приложение 9'!I129+'приложение 9'!I130+'приложение 9'!I131+'приложение 9'!I132+'приложение 9'!I133+'приложение 9'!I134</f>
        <v>9430.9159999999974</v>
      </c>
      <c r="F123" s="32">
        <f>'приложение 9'!J126+'приложение 9'!J127+'приложение 9'!J128+'приложение 9'!J129+'приложение 9'!J130+'приложение 9'!J131+'приложение 9'!J132+'приложение 9'!J133+'приложение 9'!J134</f>
        <v>1800.26802</v>
      </c>
      <c r="G123" s="32">
        <f>'приложение 9'!K126+'приложение 9'!K127+'приложение 9'!K128+'приложение 9'!K129+'приложение 9'!K130+'приложение 9'!K131+'приложение 9'!K132+'приложение 9'!K133+'приложение 9'!K134</f>
        <v>1800.26802</v>
      </c>
      <c r="H123" s="32">
        <f>'приложение 9'!L126+'приложение 9'!L127+'приложение 9'!L128+'приложение 9'!L129+'приложение 9'!L130+'приложение 9'!L131+'приложение 9'!L132+'приложение 9'!L133+'приложение 9'!L134</f>
        <v>4666.6525600000004</v>
      </c>
      <c r="I123" s="32">
        <f>'приложение 9'!M126+'приложение 9'!M127+'приложение 9'!M128+'приложение 9'!M129+'приложение 9'!M130+'приложение 9'!M131+'приложение 9'!M132+'приложение 9'!M133+'приложение 9'!M134</f>
        <v>4626.6525600000004</v>
      </c>
      <c r="J123" s="32">
        <f>'приложение 9'!N126+'приложение 9'!N127+'приложение 9'!N128+'приложение 9'!N129+'приложение 9'!N130+'приложение 9'!N131+'приложение 9'!N132+'приложение 9'!N133+'приложение 9'!N134</f>
        <v>6940.2204200000006</v>
      </c>
      <c r="K123" s="32">
        <f>'приложение 9'!O126+'приложение 9'!O127+'приложение 9'!O128+'приложение 9'!O129+'приложение 9'!O130+'приложение 9'!O131+'приложение 9'!O132+'приложение 9'!O133+'приложение 9'!O134</f>
        <v>6940.2204200000006</v>
      </c>
      <c r="L123" s="32">
        <f>'приложение 9'!P126+'приложение 9'!P127+'приложение 9'!P128+'приложение 9'!P129+'приложение 9'!P130+'приложение 9'!P131+'приложение 9'!P132+'приложение 9'!P133+'приложение 9'!P134</f>
        <v>9479.1140799999976</v>
      </c>
      <c r="M123" s="32">
        <f>'приложение 9'!Q126+'приложение 9'!Q127+'приложение 9'!Q128+'приложение 9'!Q129+'приложение 9'!Q130+'приложение 9'!Q131+'приложение 9'!Q132+'приложение 9'!Q133+'приложение 9'!Q134</f>
        <v>9479.1140799999976</v>
      </c>
      <c r="N123" s="32">
        <f>'приложение 9'!R126+'приложение 9'!R127+'приложение 9'!R128+'приложение 9'!R129+'приложение 9'!R130+'приложение 9'!R131+'приложение 9'!R132+'приложение 9'!R133+'приложение 9'!R134</f>
        <v>9590.9189999999981</v>
      </c>
      <c r="O123" s="32">
        <f>'приложение 9'!S126+'приложение 9'!S127+'приложение 9'!S128+'приложение 9'!S129+'приложение 9'!S130+'приложение 9'!S131+'приложение 9'!S132+'приложение 9'!S133+'приложение 9'!S134</f>
        <v>9590.9189999999981</v>
      </c>
      <c r="P123" s="8"/>
    </row>
    <row r="124" spans="1:16">
      <c r="A124" s="106"/>
      <c r="B124" s="106"/>
      <c r="C124" s="11" t="s">
        <v>21</v>
      </c>
      <c r="D124" s="7"/>
      <c r="E124" s="7"/>
      <c r="F124" s="7"/>
      <c r="G124" s="7"/>
      <c r="H124" s="7"/>
      <c r="I124" s="7"/>
      <c r="J124" s="7"/>
      <c r="K124" s="7"/>
      <c r="L124" s="32"/>
      <c r="M124" s="32"/>
      <c r="N124" s="8"/>
      <c r="O124" s="8"/>
      <c r="P124" s="8"/>
    </row>
    <row r="125" spans="1:16">
      <c r="A125" s="106"/>
      <c r="B125" s="106"/>
      <c r="C125" s="11" t="s">
        <v>22</v>
      </c>
      <c r="D125" s="7"/>
      <c r="E125" s="7"/>
      <c r="F125" s="7"/>
      <c r="G125" s="7"/>
      <c r="H125" s="7"/>
      <c r="I125" s="7"/>
      <c r="J125" s="7"/>
      <c r="K125" s="7"/>
      <c r="L125" s="32"/>
      <c r="M125" s="32"/>
      <c r="N125" s="8"/>
      <c r="O125" s="8"/>
      <c r="P125" s="8"/>
    </row>
    <row r="126" spans="1:16">
      <c r="A126" s="106"/>
      <c r="B126" s="106"/>
      <c r="C126" s="11" t="s">
        <v>23</v>
      </c>
      <c r="D126" s="7"/>
      <c r="E126" s="7"/>
      <c r="F126" s="7"/>
      <c r="G126" s="7"/>
      <c r="H126" s="7"/>
      <c r="I126" s="7"/>
      <c r="J126" s="7"/>
      <c r="K126" s="7"/>
      <c r="L126" s="32"/>
      <c r="M126" s="32"/>
      <c r="N126" s="8"/>
      <c r="O126" s="8"/>
      <c r="P126" s="8"/>
    </row>
    <row r="127" spans="1:16" ht="13.5" customHeight="1">
      <c r="A127" s="106" t="s">
        <v>530</v>
      </c>
      <c r="B127" s="106" t="s">
        <v>535</v>
      </c>
      <c r="C127" s="11" t="s">
        <v>16</v>
      </c>
      <c r="D127" s="32">
        <f t="shared" ref="D127:E127" si="31">SUM(D128:D134)</f>
        <v>27723.030869999999</v>
      </c>
      <c r="E127" s="32">
        <f t="shared" si="31"/>
        <v>26797.128220000006</v>
      </c>
      <c r="F127" s="32">
        <f t="shared" ref="F127:K127" si="32">SUM(F128:F134)</f>
        <v>5167.2599099999998</v>
      </c>
      <c r="G127" s="32">
        <f t="shared" si="32"/>
        <v>5167.2599099999998</v>
      </c>
      <c r="H127" s="32">
        <f t="shared" si="32"/>
        <v>11248.567279999999</v>
      </c>
      <c r="I127" s="32">
        <f t="shared" si="32"/>
        <v>11248.567279999999</v>
      </c>
      <c r="J127" s="32">
        <f t="shared" si="32"/>
        <v>17509.163630000003</v>
      </c>
      <c r="K127" s="32">
        <f t="shared" si="32"/>
        <v>17496.352330000002</v>
      </c>
      <c r="L127" s="32">
        <f>SUM(L128:L134)</f>
        <v>33582.108410000001</v>
      </c>
      <c r="M127" s="32">
        <f>SUM(M128:M134)</f>
        <v>27419.0723</v>
      </c>
      <c r="N127" s="32">
        <f t="shared" ref="N127:O127" si="33">SUM(N128:N134)</f>
        <v>23083.699000000004</v>
      </c>
      <c r="O127" s="32">
        <f t="shared" si="33"/>
        <v>23083.699000000004</v>
      </c>
      <c r="P127" s="8"/>
    </row>
    <row r="128" spans="1:16">
      <c r="A128" s="106"/>
      <c r="B128" s="106"/>
      <c r="C128" s="11" t="s">
        <v>17</v>
      </c>
      <c r="D128" s="32"/>
      <c r="E128" s="32"/>
      <c r="F128" s="32"/>
      <c r="G128" s="32"/>
      <c r="H128" s="32"/>
      <c r="I128" s="32"/>
      <c r="J128" s="32"/>
      <c r="K128" s="32"/>
      <c r="L128" s="32"/>
      <c r="M128" s="32"/>
      <c r="N128" s="32"/>
      <c r="O128" s="32"/>
      <c r="P128" s="8"/>
    </row>
    <row r="129" spans="1:16">
      <c r="A129" s="106"/>
      <c r="B129" s="106"/>
      <c r="C129" s="11" t="s">
        <v>27</v>
      </c>
      <c r="D129" s="32">
        <f>'приложение 9'!H140+'приложение 9'!H141+'приложение 9'!H142</f>
        <v>250</v>
      </c>
      <c r="E129" s="32">
        <f>'приложение 9'!I140+'приложение 9'!I141+'приложение 9'!I142</f>
        <v>250</v>
      </c>
      <c r="F129" s="32">
        <f>'приложение 9'!J140+'приложение 9'!J141+'приложение 9'!J142</f>
        <v>0</v>
      </c>
      <c r="G129" s="32">
        <f>'приложение 9'!K140+'приложение 9'!K141+'приложение 9'!K142</f>
        <v>0</v>
      </c>
      <c r="H129" s="32">
        <f>'приложение 9'!L140+'приложение 9'!L141+'приложение 9'!L142</f>
        <v>0</v>
      </c>
      <c r="I129" s="32">
        <f>'приложение 9'!M140+'приложение 9'!M141+'приложение 9'!M142</f>
        <v>0</v>
      </c>
      <c r="J129" s="32">
        <f>'приложение 9'!N140+'приложение 9'!N141+'приложение 9'!N142</f>
        <v>0</v>
      </c>
      <c r="K129" s="32">
        <f>'приложение 9'!O140+'приложение 9'!O141+'приложение 9'!O142</f>
        <v>0</v>
      </c>
      <c r="L129" s="32">
        <f>'приложение 9'!P140+'приложение 9'!P141+'приложение 9'!P142</f>
        <v>0</v>
      </c>
      <c r="M129" s="32">
        <f>'приложение 9'!Q140+'приложение 9'!Q141+'приложение 9'!Q142</f>
        <v>0</v>
      </c>
      <c r="N129" s="32">
        <f>'приложение 9'!R140+'приложение 9'!R141+'приложение 9'!R142</f>
        <v>0</v>
      </c>
      <c r="O129" s="32">
        <f>'приложение 9'!S140+'приложение 9'!S141+'приложение 9'!S142</f>
        <v>0</v>
      </c>
      <c r="P129" s="8"/>
    </row>
    <row r="130" spans="1:16">
      <c r="A130" s="106"/>
      <c r="B130" s="106"/>
      <c r="C130" s="11" t="s">
        <v>19</v>
      </c>
      <c r="D130" s="32">
        <f>'приложение 9'!H137+'приложение 9'!H138+'приложение 9'!H139+'приложение 9'!H143+'приложение 9'!H144+'приложение 9'!H145+'приложение 9'!H146+'приложение 9'!H147</f>
        <v>4585.8152600000003</v>
      </c>
      <c r="E130" s="32">
        <f>'приложение 9'!I137+'приложение 9'!I138+'приложение 9'!I139+'приложение 9'!I143+'приложение 9'!I144+'приложение 9'!I145+'приложение 9'!I146+'приложение 9'!I147</f>
        <v>3667.8307299999997</v>
      </c>
      <c r="F130" s="32">
        <f>'приложение 9'!J137+'приложение 9'!J138+'приложение 9'!J139+'приложение 9'!J143+'приложение 9'!J144+'приложение 9'!J145+'приложение 9'!J146+'приложение 9'!J147</f>
        <v>146.68800000000002</v>
      </c>
      <c r="G130" s="32">
        <f>'приложение 9'!K137+'приложение 9'!K138+'приложение 9'!K139+'приложение 9'!K143+'приложение 9'!K144+'приложение 9'!K145+'приложение 9'!K146+'приложение 9'!K147</f>
        <v>146.68800000000002</v>
      </c>
      <c r="H130" s="32">
        <f>'приложение 9'!L137+'приложение 9'!L138+'приложение 9'!L139+'приложение 9'!L143+'приложение 9'!L144+'приложение 9'!L145+'приложение 9'!L146+'приложение 9'!L147</f>
        <v>377.63100000000003</v>
      </c>
      <c r="I130" s="32">
        <f>'приложение 9'!M137+'приложение 9'!M138+'приложение 9'!M139+'приложение 9'!M143+'приложение 9'!M144+'приложение 9'!M145+'приложение 9'!M146+'приложение 9'!M147</f>
        <v>377.63100000000003</v>
      </c>
      <c r="J130" s="32">
        <f>'приложение 9'!N137+'приложение 9'!N138+'приложение 9'!N139+'приложение 9'!N143+'приложение 9'!N144+'приложение 9'!N145+'приложение 9'!N146+'приложение 9'!N147</f>
        <v>999.42899999999986</v>
      </c>
      <c r="K130" s="32">
        <f>'приложение 9'!O137+'приложение 9'!O138+'приложение 9'!O139+'приложение 9'!O143+'приложение 9'!O144+'приложение 9'!O145+'приложение 9'!O146+'приложение 9'!O147</f>
        <v>999.42899999999986</v>
      </c>
      <c r="L130" s="32">
        <f>'приложение 9'!P137+'приложение 9'!P138+'приложение 9'!P139+'приложение 9'!P143+'приложение 9'!P144+'приложение 9'!P145+'приложение 9'!P146+'приложение 9'!P147</f>
        <v>9154.8040000000001</v>
      </c>
      <c r="M130" s="32">
        <f>'приложение 9'!Q137+'приложение 9'!Q138+'приложение 9'!Q139+'приложение 9'!Q143+'приложение 9'!Q144+'приложение 9'!Q145+'приложение 9'!Q146+'приложение 9'!Q147</f>
        <v>4033.4809999999998</v>
      </c>
      <c r="N130" s="32">
        <f>'приложение 9'!R137+'приложение 9'!R138+'приложение 9'!R139+'приложение 9'!R143+'приложение 9'!R144+'приложение 9'!R145+'приложение 9'!R146+'приложение 9'!R147</f>
        <v>0</v>
      </c>
      <c r="O130" s="32">
        <f>'приложение 9'!S137+'приложение 9'!S138+'приложение 9'!S139+'приложение 9'!S143+'приложение 9'!S144+'приложение 9'!S145+'приложение 9'!S146+'приложение 9'!S147</f>
        <v>0</v>
      </c>
      <c r="P130" s="8"/>
    </row>
    <row r="131" spans="1:16">
      <c r="A131" s="106"/>
      <c r="B131" s="106"/>
      <c r="C131" s="11" t="s">
        <v>20</v>
      </c>
      <c r="D131" s="32">
        <f>'приложение 9'!H149+'приложение 9'!H150+'приложение 9'!H151+'приложение 9'!H152+'приложение 9'!H153+'приложение 9'!H154+'приложение 9'!H155+'приложение 9'!H156+'приложение 9'!H157+'приложение 9'!H158+'приложение 9'!H159+'приложение 9'!H160+'приложение 9'!H161</f>
        <v>22687.215609999999</v>
      </c>
      <c r="E131" s="32">
        <f>'приложение 9'!I149+'приложение 9'!I150+'приложение 9'!I151+'приложение 9'!I152+'приложение 9'!I153+'приложение 9'!I154+'приложение 9'!I155+'приложение 9'!I156+'приложение 9'!I157+'приложение 9'!I158+'приложение 9'!I159+'приложение 9'!I160+'приложение 9'!I161</f>
        <v>22679.339610000003</v>
      </c>
      <c r="F131" s="32">
        <f>'приложение 9'!J149+'приложение 9'!J150+'приложение 9'!J151+'приложение 9'!J152+'приложение 9'!J153+'приложение 9'!J154+'приложение 9'!J155+'приложение 9'!J156+'приложение 9'!J157+'приложение 9'!J158+'приложение 9'!J159+'приложение 9'!J160+'приложение 9'!J161</f>
        <v>5020.5719099999997</v>
      </c>
      <c r="G131" s="32">
        <f>'приложение 9'!K149+'приложение 9'!K150+'приложение 9'!K151+'приложение 9'!K152+'приложение 9'!K153+'приложение 9'!K154+'приложение 9'!K155+'приложение 9'!K156+'приложение 9'!K157+'приложение 9'!K158+'приложение 9'!K159+'приложение 9'!K160+'приложение 9'!K161</f>
        <v>5020.5719099999997</v>
      </c>
      <c r="H131" s="32">
        <f>'приложение 9'!L149+'приложение 9'!L150+'приложение 9'!L151+'приложение 9'!L152+'приложение 9'!L153+'приложение 9'!L154+'приложение 9'!L155+'приложение 9'!L156+'приложение 9'!L157+'приложение 9'!L158+'приложение 9'!L159+'приложение 9'!L160+'приложение 9'!L161</f>
        <v>10870.93628</v>
      </c>
      <c r="I131" s="32">
        <f>'приложение 9'!M149+'приложение 9'!M150+'приложение 9'!M151+'приложение 9'!M152+'приложение 9'!M153+'приложение 9'!M154+'приложение 9'!M155+'приложение 9'!M156+'приложение 9'!M157+'приложение 9'!M158+'приложение 9'!M159+'приложение 9'!M160+'приложение 9'!M161</f>
        <v>10870.93628</v>
      </c>
      <c r="J131" s="32">
        <f>'приложение 9'!N149+'приложение 9'!N150+'приложение 9'!N151+'приложение 9'!N152+'приложение 9'!N153+'приложение 9'!N154+'приложение 9'!N155+'приложение 9'!N156+'приложение 9'!N157+'приложение 9'!N158+'приложение 9'!N159+'приложение 9'!N160+'приложение 9'!N161</f>
        <v>16509.734630000003</v>
      </c>
      <c r="K131" s="32">
        <f>'приложение 9'!O149+'приложение 9'!O150+'приложение 9'!O151+'приложение 9'!O152+'приложение 9'!O153+'приложение 9'!O154+'приложение 9'!O155+'приложение 9'!O156+'приложение 9'!O157+'приложение 9'!O158+'приложение 9'!O159+'приложение 9'!O160+'приложение 9'!O161</f>
        <v>16496.923330000001</v>
      </c>
      <c r="L131" s="32">
        <f>'приложение 9'!P149+'приложение 9'!P150+'приложение 9'!P151+'приложение 9'!P152+'приложение 9'!P153+'приложение 9'!P154+'приложение 9'!P155+'приложение 9'!P156+'приложение 9'!P157+'приложение 9'!P158+'приложение 9'!P159+'приложение 9'!P160+'приложение 9'!P161</f>
        <v>24427.304409999997</v>
      </c>
      <c r="M131" s="32">
        <f>'приложение 9'!Q149+'приложение 9'!Q150+'приложение 9'!Q151+'приложение 9'!Q152+'приложение 9'!Q153+'приложение 9'!Q154+'приложение 9'!Q155+'приложение 9'!Q156+'приложение 9'!Q157+'приложение 9'!Q158+'приложение 9'!Q159+'приложение 9'!Q160+'приложение 9'!Q161</f>
        <v>23385.5913</v>
      </c>
      <c r="N131" s="32">
        <f>'приложение 9'!R149+'приложение 9'!R150+'приложение 9'!R151+'приложение 9'!R152+'приложение 9'!R153+'приложение 9'!R154+'приложение 9'!R155+'приложение 9'!R156+'приложение 9'!R157+'приложение 9'!R158+'приложение 9'!R159+'приложение 9'!R160+'приложение 9'!R161</f>
        <v>23083.699000000004</v>
      </c>
      <c r="O131" s="32">
        <f>'приложение 9'!S149+'приложение 9'!S150+'приложение 9'!S151+'приложение 9'!S152+'приложение 9'!S153+'приложение 9'!S154+'приложение 9'!S155+'приложение 9'!S156+'приложение 9'!S157+'приложение 9'!S158+'приложение 9'!S159+'приложение 9'!S160+'приложение 9'!S161</f>
        <v>23083.699000000004</v>
      </c>
      <c r="P131" s="8"/>
    </row>
    <row r="132" spans="1:16">
      <c r="A132" s="106"/>
      <c r="B132" s="106"/>
      <c r="C132" s="11" t="s">
        <v>21</v>
      </c>
      <c r="D132" s="32">
        <f>'приложение 9'!H148</f>
        <v>200</v>
      </c>
      <c r="E132" s="32">
        <f>'приложение 9'!I148</f>
        <v>199.95787999999999</v>
      </c>
      <c r="F132" s="32">
        <f>'приложение 9'!J148</f>
        <v>0</v>
      </c>
      <c r="G132" s="32">
        <f>'приложение 9'!K148</f>
        <v>0</v>
      </c>
      <c r="H132" s="32">
        <f>'приложение 9'!L148</f>
        <v>0</v>
      </c>
      <c r="I132" s="32">
        <f>'приложение 9'!M148</f>
        <v>0</v>
      </c>
      <c r="J132" s="32">
        <f>'приложение 9'!N148</f>
        <v>0</v>
      </c>
      <c r="K132" s="32">
        <f>'приложение 9'!O148</f>
        <v>0</v>
      </c>
      <c r="L132" s="32">
        <f>'приложение 9'!P148</f>
        <v>0</v>
      </c>
      <c r="M132" s="32">
        <f>'приложение 9'!Q148</f>
        <v>0</v>
      </c>
      <c r="N132" s="32">
        <f>'приложение 9'!R148</f>
        <v>0</v>
      </c>
      <c r="O132" s="32">
        <f>'приложение 9'!S148</f>
        <v>0</v>
      </c>
      <c r="P132" s="8"/>
    </row>
    <row r="133" spans="1:16">
      <c r="A133" s="106"/>
      <c r="B133" s="106"/>
      <c r="C133" s="11" t="s">
        <v>22</v>
      </c>
      <c r="D133" s="7"/>
      <c r="E133" s="7"/>
      <c r="F133" s="7"/>
      <c r="G133" s="7"/>
      <c r="H133" s="7"/>
      <c r="I133" s="7"/>
      <c r="J133" s="7"/>
      <c r="K133" s="7"/>
      <c r="L133" s="32"/>
      <c r="M133" s="32"/>
      <c r="N133" s="8"/>
      <c r="O133" s="8"/>
      <c r="P133" s="8"/>
    </row>
    <row r="134" spans="1:16">
      <c r="A134" s="106"/>
      <c r="B134" s="106"/>
      <c r="C134" s="11" t="s">
        <v>23</v>
      </c>
      <c r="D134" s="7"/>
      <c r="E134" s="7"/>
      <c r="F134" s="7"/>
      <c r="G134" s="7"/>
      <c r="H134" s="7"/>
      <c r="I134" s="7"/>
      <c r="J134" s="7"/>
      <c r="K134" s="7"/>
      <c r="L134" s="32"/>
      <c r="M134" s="32"/>
      <c r="N134" s="8"/>
      <c r="O134" s="8"/>
      <c r="P134" s="8"/>
    </row>
    <row r="135" spans="1:16" ht="13.5" customHeight="1">
      <c r="A135" s="106" t="s">
        <v>531</v>
      </c>
      <c r="B135" s="106" t="s">
        <v>534</v>
      </c>
      <c r="C135" s="29" t="s">
        <v>16</v>
      </c>
      <c r="D135" s="32">
        <f t="shared" ref="D135:E135" si="34">SUM(D136:D142)</f>
        <v>21142.319189999998</v>
      </c>
      <c r="E135" s="32">
        <f t="shared" si="34"/>
        <v>21133.793189999997</v>
      </c>
      <c r="F135" s="32">
        <f t="shared" ref="F135:K135" si="35">SUM(F136:F142)</f>
        <v>4313.3815300000006</v>
      </c>
      <c r="G135" s="32">
        <f t="shared" si="35"/>
        <v>4313.3815300000006</v>
      </c>
      <c r="H135" s="32">
        <f t="shared" si="35"/>
        <v>12829.46429</v>
      </c>
      <c r="I135" s="32">
        <f t="shared" si="35"/>
        <v>12829.46429</v>
      </c>
      <c r="J135" s="32">
        <f t="shared" si="35"/>
        <v>15512.250679999999</v>
      </c>
      <c r="K135" s="32">
        <f t="shared" si="35"/>
        <v>15512.250679999999</v>
      </c>
      <c r="L135" s="32">
        <f>SUM(L136:L142)</f>
        <v>22236.779319999998</v>
      </c>
      <c r="M135" s="32">
        <f>SUM(M136:M142)</f>
        <v>22227.912360000002</v>
      </c>
      <c r="N135" s="32">
        <f t="shared" ref="N135:O135" si="36">SUM(N136:N142)</f>
        <v>20704.742999999999</v>
      </c>
      <c r="O135" s="32">
        <f t="shared" si="36"/>
        <v>20704.742999999999</v>
      </c>
      <c r="P135" s="8"/>
    </row>
    <row r="136" spans="1:16">
      <c r="A136" s="106"/>
      <c r="B136" s="106"/>
      <c r="C136" s="29" t="s">
        <v>17</v>
      </c>
      <c r="D136" s="32"/>
      <c r="E136" s="32"/>
      <c r="F136" s="32"/>
      <c r="G136" s="32"/>
      <c r="H136" s="32"/>
      <c r="I136" s="32"/>
      <c r="J136" s="32"/>
      <c r="K136" s="32"/>
      <c r="L136" s="32"/>
      <c r="M136" s="32"/>
      <c r="N136" s="32"/>
      <c r="O136" s="32"/>
      <c r="P136" s="8"/>
    </row>
    <row r="137" spans="1:16">
      <c r="A137" s="106"/>
      <c r="B137" s="106"/>
      <c r="C137" s="29" t="s">
        <v>27</v>
      </c>
      <c r="D137" s="32">
        <f>'приложение 9'!H167</f>
        <v>154.97999999999999</v>
      </c>
      <c r="E137" s="32">
        <f>'приложение 9'!I167</f>
        <v>154.97999999999999</v>
      </c>
      <c r="F137" s="32">
        <f>'приложение 9'!J167</f>
        <v>0</v>
      </c>
      <c r="G137" s="32">
        <f>'приложение 9'!K167</f>
        <v>0</v>
      </c>
      <c r="H137" s="32">
        <f>'приложение 9'!L167</f>
        <v>0</v>
      </c>
      <c r="I137" s="32">
        <f>'приложение 9'!M167</f>
        <v>0</v>
      </c>
      <c r="J137" s="32">
        <f>'приложение 9'!N167</f>
        <v>0</v>
      </c>
      <c r="K137" s="32">
        <f>'приложение 9'!O167</f>
        <v>0</v>
      </c>
      <c r="L137" s="32">
        <f>'приложение 9'!P167</f>
        <v>0</v>
      </c>
      <c r="M137" s="32">
        <f>'приложение 9'!Q167</f>
        <v>0</v>
      </c>
      <c r="N137" s="32">
        <f>'приложение 9'!R167</f>
        <v>0</v>
      </c>
      <c r="O137" s="32">
        <f>'приложение 9'!S167</f>
        <v>0</v>
      </c>
      <c r="P137" s="8"/>
    </row>
    <row r="138" spans="1:16">
      <c r="A138" s="106"/>
      <c r="B138" s="106"/>
      <c r="C138" s="29" t="s">
        <v>19</v>
      </c>
      <c r="D138" s="32">
        <f>'приложение 9'!H164+'приложение 9'!H165+'приложение 9'!H166+'приложение 9'!H168</f>
        <v>617.07079999999996</v>
      </c>
      <c r="E138" s="32">
        <f>'приложение 9'!I164+'приложение 9'!I165+'приложение 9'!I166+'приложение 9'!I168</f>
        <v>617.07079999999996</v>
      </c>
      <c r="F138" s="32">
        <f>'приложение 9'!J164+'приложение 9'!J165+'приложение 9'!J166+'приложение 9'!J168</f>
        <v>227.12</v>
      </c>
      <c r="G138" s="32">
        <f>'приложение 9'!K164+'приложение 9'!K165+'приложение 9'!K166+'приложение 9'!K168</f>
        <v>227.12</v>
      </c>
      <c r="H138" s="32">
        <f>'приложение 9'!L164+'приложение 9'!L165+'приложение 9'!L166+'приложение 9'!L168</f>
        <v>510.53667999999999</v>
      </c>
      <c r="I138" s="32">
        <f>'приложение 9'!M164+'приложение 9'!M165+'приложение 9'!M166+'приложение 9'!M168</f>
        <v>510.53667999999999</v>
      </c>
      <c r="J138" s="32">
        <f>'приложение 9'!N164+'приложение 9'!N165+'приложение 9'!N166+'приложение 9'!N168</f>
        <v>789.24667999999997</v>
      </c>
      <c r="K138" s="32">
        <f>'приложение 9'!O164+'приложение 9'!O165+'приложение 9'!O166+'приложение 9'!O168</f>
        <v>789.24667999999997</v>
      </c>
      <c r="L138" s="32">
        <f>'приложение 9'!P164+'приложение 9'!P165+'приложение 9'!P166+'приложение 9'!P168</f>
        <v>1219.819</v>
      </c>
      <c r="M138" s="32">
        <f>'приложение 9'!Q164+'приложение 9'!Q165+'приложение 9'!Q166+'приложение 9'!Q168</f>
        <v>1219.819</v>
      </c>
      <c r="N138" s="32">
        <f>'приложение 9'!R164+'приложение 9'!R165+'приложение 9'!R166+'приложение 9'!R168</f>
        <v>0</v>
      </c>
      <c r="O138" s="32">
        <f>'приложение 9'!S164+'приложение 9'!S165+'приложение 9'!S166+'приложение 9'!S168</f>
        <v>0</v>
      </c>
      <c r="P138" s="8"/>
    </row>
    <row r="139" spans="1:16">
      <c r="A139" s="106"/>
      <c r="B139" s="106"/>
      <c r="C139" s="29" t="s">
        <v>20</v>
      </c>
      <c r="D139" s="32">
        <f>'приложение 9'!H169+'приложение 9'!H170+'приложение 9'!H171+'приложение 9'!H172+'приложение 9'!H173+'приложение 9'!H174+'приложение 9'!H175+'приложение 9'!H176+'приложение 9'!H177+'приложение 9'!H178+'приложение 9'!H179+'приложение 9'!H180+'приложение 9'!H181</f>
        <v>20370.268389999997</v>
      </c>
      <c r="E139" s="32">
        <f>'приложение 9'!I169+'приложение 9'!I170+'приложение 9'!I171+'приложение 9'!I172+'приложение 9'!I173+'приложение 9'!I174+'приложение 9'!I175+'приложение 9'!I176+'приложение 9'!I177+'приложение 9'!I178+'приложение 9'!I179+'приложение 9'!I180+'приложение 9'!I181</f>
        <v>20361.742389999996</v>
      </c>
      <c r="F139" s="32">
        <f>'приложение 9'!J169+'приложение 9'!J170+'приложение 9'!J171+'приложение 9'!J172+'приложение 9'!J173+'приложение 9'!J174+'приложение 9'!J175+'приложение 9'!J176+'приложение 9'!J177+'приложение 9'!J178+'приложение 9'!J179+'приложение 9'!J180+'приложение 9'!J181</f>
        <v>4086.2615300000002</v>
      </c>
      <c r="G139" s="32">
        <f>'приложение 9'!K169+'приложение 9'!K170+'приложение 9'!K171+'приложение 9'!K172+'приложение 9'!K173+'приложение 9'!K174+'приложение 9'!K175+'приложение 9'!K176+'приложение 9'!K177+'приложение 9'!K178+'приложение 9'!K179+'приложение 9'!K180+'приложение 9'!K181</f>
        <v>4086.2615300000002</v>
      </c>
      <c r="H139" s="32">
        <f>'приложение 9'!L169+'приложение 9'!L170+'приложение 9'!L171+'приложение 9'!L172+'приложение 9'!L173+'приложение 9'!L174+'приложение 9'!L175+'приложение 9'!L176+'приложение 9'!L177+'приложение 9'!L178+'приложение 9'!L179+'приложение 9'!L180+'приложение 9'!L181</f>
        <v>12318.927610000001</v>
      </c>
      <c r="I139" s="32">
        <f>'приложение 9'!M169+'приложение 9'!M170+'приложение 9'!M171+'приложение 9'!M172+'приложение 9'!M173+'приложение 9'!M174+'приложение 9'!M175+'приложение 9'!M176+'приложение 9'!M177+'приложение 9'!M178+'приложение 9'!M179+'приложение 9'!M180+'приложение 9'!M181</f>
        <v>12318.927610000001</v>
      </c>
      <c r="J139" s="32">
        <f>'приложение 9'!N169+'приложение 9'!N170+'приложение 9'!N171+'приложение 9'!N172+'приложение 9'!N173+'приложение 9'!N174+'приложение 9'!N175+'приложение 9'!N176+'приложение 9'!N177+'приложение 9'!N178+'приложение 9'!N179+'приложение 9'!N180+'приложение 9'!N181</f>
        <v>14723.003999999999</v>
      </c>
      <c r="K139" s="32">
        <f>'приложение 9'!O169+'приложение 9'!O170+'приложение 9'!O171+'приложение 9'!O172+'приложение 9'!O173+'приложение 9'!O174+'приложение 9'!O175+'приложение 9'!O176+'приложение 9'!O177+'приложение 9'!O178+'приложение 9'!O179+'приложение 9'!O180+'приложение 9'!O181</f>
        <v>14723.003999999999</v>
      </c>
      <c r="L139" s="32">
        <f>'приложение 9'!P169+'приложение 9'!P170+'приложение 9'!P171+'приложение 9'!P172+'приложение 9'!P173+'приложение 9'!P174+'приложение 9'!P175+'приложение 9'!P176+'приложение 9'!P177+'приложение 9'!P178+'приложение 9'!P179+'приложение 9'!P180+'приложение 9'!P181</f>
        <v>21016.960319999998</v>
      </c>
      <c r="M139" s="32">
        <f>'приложение 9'!Q169+'приложение 9'!Q170+'приложение 9'!Q171+'приложение 9'!Q172+'приложение 9'!Q173+'приложение 9'!Q174+'приложение 9'!Q175+'приложение 9'!Q176+'приложение 9'!Q177+'приложение 9'!Q178+'приложение 9'!Q179+'приложение 9'!Q180+'приложение 9'!Q181</f>
        <v>21008.093360000003</v>
      </c>
      <c r="N139" s="32">
        <f>'приложение 9'!R169+'приложение 9'!R170+'приложение 9'!R171+'приложение 9'!R172+'приложение 9'!R173+'приложение 9'!R174+'приложение 9'!R175+'приложение 9'!R176+'приложение 9'!R177+'приложение 9'!R178+'приложение 9'!R179+'приложение 9'!R180+'приложение 9'!R181</f>
        <v>20704.742999999999</v>
      </c>
      <c r="O139" s="32">
        <f>'приложение 9'!S169+'приложение 9'!S170+'приложение 9'!S171+'приложение 9'!S172+'приложение 9'!S173+'приложение 9'!S174+'приложение 9'!S175+'приложение 9'!S176+'приложение 9'!S177+'приложение 9'!S178+'приложение 9'!S179+'приложение 9'!S180+'приложение 9'!S181</f>
        <v>20704.742999999999</v>
      </c>
      <c r="P139" s="8"/>
    </row>
    <row r="140" spans="1:16">
      <c r="A140" s="106"/>
      <c r="B140" s="106"/>
      <c r="C140" s="29" t="s">
        <v>21</v>
      </c>
      <c r="D140" s="7"/>
      <c r="E140" s="7"/>
      <c r="F140" s="7"/>
      <c r="G140" s="7"/>
      <c r="H140" s="7"/>
      <c r="I140" s="7"/>
      <c r="J140" s="7"/>
      <c r="K140" s="7"/>
      <c r="L140" s="32"/>
      <c r="M140" s="32"/>
      <c r="N140" s="8"/>
      <c r="O140" s="8"/>
      <c r="P140" s="8"/>
    </row>
    <row r="141" spans="1:16">
      <c r="A141" s="106"/>
      <c r="B141" s="106"/>
      <c r="C141" s="29" t="s">
        <v>22</v>
      </c>
      <c r="D141" s="7"/>
      <c r="E141" s="7"/>
      <c r="F141" s="7"/>
      <c r="G141" s="7"/>
      <c r="H141" s="7"/>
      <c r="I141" s="7"/>
      <c r="J141" s="7"/>
      <c r="K141" s="7"/>
      <c r="L141" s="32"/>
      <c r="M141" s="32"/>
      <c r="N141" s="8"/>
      <c r="O141" s="8"/>
      <c r="P141" s="8"/>
    </row>
    <row r="142" spans="1:16">
      <c r="A142" s="106"/>
      <c r="B142" s="106"/>
      <c r="C142" s="29" t="s">
        <v>23</v>
      </c>
      <c r="D142" s="7"/>
      <c r="E142" s="7"/>
      <c r="F142" s="7"/>
      <c r="G142" s="7"/>
      <c r="H142" s="7"/>
      <c r="I142" s="7"/>
      <c r="J142" s="7"/>
      <c r="K142" s="7"/>
      <c r="L142" s="32"/>
      <c r="M142" s="32"/>
      <c r="N142" s="8"/>
      <c r="O142" s="8"/>
      <c r="P142" s="8"/>
    </row>
    <row r="143" spans="1:16" ht="13.5" customHeight="1">
      <c r="A143" s="106" t="s">
        <v>532</v>
      </c>
      <c r="B143" s="106" t="s">
        <v>534</v>
      </c>
      <c r="C143" s="29" t="s">
        <v>16</v>
      </c>
      <c r="D143" s="32">
        <f t="shared" ref="D143:E143" si="37">SUM(D144:D150)</f>
        <v>6377.4129999999996</v>
      </c>
      <c r="E143" s="32">
        <f t="shared" si="37"/>
        <v>6325.9436099999994</v>
      </c>
      <c r="F143" s="32">
        <f t="shared" ref="F143:K143" si="38">SUM(F144:F150)</f>
        <v>1430.6472699999999</v>
      </c>
      <c r="G143" s="32">
        <f t="shared" si="38"/>
        <v>1272.19622</v>
      </c>
      <c r="H143" s="32">
        <f t="shared" si="38"/>
        <v>3266.7852599999997</v>
      </c>
      <c r="I143" s="32">
        <f t="shared" si="38"/>
        <v>3176.2881600000001</v>
      </c>
      <c r="J143" s="32">
        <f t="shared" si="38"/>
        <v>5139.3974300000009</v>
      </c>
      <c r="K143" s="32">
        <f t="shared" si="38"/>
        <v>5006.0491199999997</v>
      </c>
      <c r="L143" s="32">
        <f>SUM(L144:L150)</f>
        <v>7263.3241900000012</v>
      </c>
      <c r="M143" s="32">
        <f t="shared" ref="M143:O143" si="39">SUM(M144:M150)</f>
        <v>7211.1517229999999</v>
      </c>
      <c r="N143" s="32">
        <f t="shared" si="39"/>
        <v>7443.1570000000002</v>
      </c>
      <c r="O143" s="32">
        <f t="shared" si="39"/>
        <v>7443.1570000000002</v>
      </c>
      <c r="P143" s="8"/>
    </row>
    <row r="144" spans="1:16">
      <c r="A144" s="106"/>
      <c r="B144" s="106"/>
      <c r="C144" s="29" t="s">
        <v>17</v>
      </c>
      <c r="D144" s="32"/>
      <c r="E144" s="32"/>
      <c r="F144" s="32"/>
      <c r="G144" s="32"/>
      <c r="H144" s="32"/>
      <c r="I144" s="32"/>
      <c r="J144" s="32"/>
      <c r="K144" s="32"/>
      <c r="L144" s="32"/>
      <c r="M144" s="32"/>
      <c r="N144" s="8"/>
      <c r="O144" s="8"/>
      <c r="P144" s="8"/>
    </row>
    <row r="145" spans="1:16">
      <c r="A145" s="106"/>
      <c r="B145" s="106"/>
      <c r="C145" s="29" t="s">
        <v>27</v>
      </c>
      <c r="D145" s="32"/>
      <c r="E145" s="32"/>
      <c r="F145" s="32"/>
      <c r="G145" s="32"/>
      <c r="H145" s="32"/>
      <c r="I145" s="32"/>
      <c r="J145" s="32"/>
      <c r="K145" s="32"/>
      <c r="L145" s="32"/>
      <c r="M145" s="32"/>
      <c r="N145" s="8"/>
      <c r="O145" s="8"/>
      <c r="P145" s="8"/>
    </row>
    <row r="146" spans="1:16">
      <c r="A146" s="106"/>
      <c r="B146" s="106"/>
      <c r="C146" s="29" t="s">
        <v>19</v>
      </c>
      <c r="D146" s="32">
        <f>'приложение 9'!H184+'приложение 9'!H185+'приложение 9'!H186+'приложение 9'!H187</f>
        <v>137.1</v>
      </c>
      <c r="E146" s="32">
        <f>'приложение 9'!I184+'приложение 9'!I185+'приложение 9'!I186+'приложение 9'!I187</f>
        <v>137.00358</v>
      </c>
      <c r="F146" s="32">
        <f>'приложение 9'!J184+'приложение 9'!J185+'приложение 9'!J186+'приложение 9'!J187</f>
        <v>20.259</v>
      </c>
      <c r="G146" s="32">
        <f>'приложение 9'!K184+'приложение 9'!K185+'приложение 9'!K186+'приложение 9'!K187</f>
        <v>20.259</v>
      </c>
      <c r="H146" s="32">
        <f>'приложение 9'!L184+'приложение 9'!L185+'приложение 9'!L186+'приложение 9'!L187</f>
        <v>20.259</v>
      </c>
      <c r="I146" s="32">
        <f>'приложение 9'!M184+'приложение 9'!M185+'приложение 9'!M186+'приложение 9'!M187</f>
        <v>20.259</v>
      </c>
      <c r="J146" s="32">
        <f>'приложение 9'!N184+'приложение 9'!N185+'приложение 9'!N186+'приложение 9'!N187</f>
        <v>20.259</v>
      </c>
      <c r="K146" s="32">
        <f>'приложение 9'!O184+'приложение 9'!O185+'приложение 9'!O186+'приложение 9'!O187</f>
        <v>20.259</v>
      </c>
      <c r="L146" s="32">
        <f>'приложение 9'!P184+'приложение 9'!P185+'приложение 9'!P186+'приложение 9'!P187</f>
        <v>20.259</v>
      </c>
      <c r="M146" s="32">
        <f>'приложение 9'!Q184+'приложение 9'!Q185+'приложение 9'!Q186+'приложение 9'!Q187</f>
        <v>20.259</v>
      </c>
      <c r="N146" s="32">
        <f>'приложение 9'!R184+'приложение 9'!R185+'приложение 9'!R186+'приложение 9'!R187</f>
        <v>102.8</v>
      </c>
      <c r="O146" s="32">
        <f>'приложение 9'!S184+'приложение 9'!S185+'приложение 9'!S186+'приложение 9'!S187</f>
        <v>102.8</v>
      </c>
      <c r="P146" s="8"/>
    </row>
    <row r="147" spans="1:16">
      <c r="A147" s="106"/>
      <c r="B147" s="106"/>
      <c r="C147" s="29" t="s">
        <v>20</v>
      </c>
      <c r="D147" s="32">
        <f>'приложение 9'!H188+'приложение 9'!H189+'приложение 9'!H190+'приложение 9'!H191+'приложение 9'!H192+'приложение 9'!H193+'приложение 9'!H194+'приложение 9'!H195+'приложение 9'!H196+'приложение 9'!H197+'приложение 9'!H198</f>
        <v>6240.3129999999992</v>
      </c>
      <c r="E147" s="32">
        <f>'приложение 9'!I188+'приложение 9'!I189+'приложение 9'!I190+'приложение 9'!I191+'приложение 9'!I192+'приложение 9'!I193+'приложение 9'!I194+'приложение 9'!I195+'приложение 9'!I196+'приложение 9'!I197+'приложение 9'!I198</f>
        <v>6188.9400299999998</v>
      </c>
      <c r="F147" s="32">
        <f>'приложение 9'!J188+'приложение 9'!J189+'приложение 9'!J190+'приложение 9'!J191+'приложение 9'!J192+'приложение 9'!J193+'приложение 9'!J194+'приложение 9'!J195+'приложение 9'!J196+'приложение 9'!J197+'приложение 9'!J198</f>
        <v>1410.3882699999999</v>
      </c>
      <c r="G147" s="32">
        <f>'приложение 9'!K188+'приложение 9'!K189+'приложение 9'!K190+'приложение 9'!K191+'приложение 9'!K192+'приложение 9'!K193+'приложение 9'!K194+'приложение 9'!K195+'приложение 9'!K196+'приложение 9'!K197+'приложение 9'!K198</f>
        <v>1251.93722</v>
      </c>
      <c r="H147" s="32">
        <f>'приложение 9'!L188+'приложение 9'!L189+'приложение 9'!L190+'приложение 9'!L191+'приложение 9'!L192+'приложение 9'!L193+'приложение 9'!L194+'приложение 9'!L195+'приложение 9'!L196+'приложение 9'!L197+'приложение 9'!L198</f>
        <v>3246.5262599999996</v>
      </c>
      <c r="I147" s="32">
        <f>'приложение 9'!M188+'приложение 9'!M189+'приложение 9'!M190+'приложение 9'!M191+'приложение 9'!M192+'приложение 9'!M193+'приложение 9'!M194+'приложение 9'!M195+'приложение 9'!M196+'приложение 9'!M197+'приложение 9'!M198</f>
        <v>3156.02916</v>
      </c>
      <c r="J147" s="32">
        <f>'приложение 9'!N188+'приложение 9'!N189+'приложение 9'!N190+'приложение 9'!N191+'приложение 9'!N192+'приложение 9'!N193+'приложение 9'!N194+'приложение 9'!N195+'приложение 9'!N196+'приложение 9'!N197+'приложение 9'!N198</f>
        <v>5119.1384300000009</v>
      </c>
      <c r="K147" s="32">
        <f>'приложение 9'!O188+'приложение 9'!O189+'приложение 9'!O190+'приложение 9'!O191+'приложение 9'!O192+'приложение 9'!O193+'приложение 9'!O194+'приложение 9'!O195+'приложение 9'!O196+'приложение 9'!O197+'приложение 9'!O198</f>
        <v>4985.7901199999997</v>
      </c>
      <c r="L147" s="32">
        <f>'приложение 9'!P188+'приложение 9'!P189+'приложение 9'!P190+'приложение 9'!P191+'приложение 9'!P192+'приложение 9'!P193+'приложение 9'!P194+'приложение 9'!P195+'приложение 9'!P196+'приложение 9'!P197+'приложение 9'!P198</f>
        <v>7243.0651900000012</v>
      </c>
      <c r="M147" s="32">
        <f>'приложение 9'!Q188+'приложение 9'!Q189+'приложение 9'!Q190+'приложение 9'!Q191+'приложение 9'!Q192+'приложение 9'!Q193+'приложение 9'!Q194+'приложение 9'!Q195+'приложение 9'!Q196+'приложение 9'!Q197+'приложение 9'!Q198</f>
        <v>7190.8927229999999</v>
      </c>
      <c r="N147" s="32">
        <f>'приложение 9'!R188+'приложение 9'!R189+'приложение 9'!R190+'приложение 9'!R191+'приложение 9'!R192+'приложение 9'!R193+'приложение 9'!R194+'приложение 9'!R195+'приложение 9'!R196+'приложение 9'!R197+'приложение 9'!R198</f>
        <v>7340.357</v>
      </c>
      <c r="O147" s="32">
        <f>'приложение 9'!S188+'приложение 9'!S189+'приложение 9'!S190+'приложение 9'!S191+'приложение 9'!S192+'приложение 9'!S193+'приложение 9'!S194+'приложение 9'!S195+'приложение 9'!S196+'приложение 9'!S197+'приложение 9'!S198</f>
        <v>7340.357</v>
      </c>
      <c r="P147" s="8"/>
    </row>
    <row r="148" spans="1:16">
      <c r="A148" s="106"/>
      <c r="B148" s="106"/>
      <c r="C148" s="29" t="s">
        <v>21</v>
      </c>
      <c r="D148" s="7"/>
      <c r="E148" s="7"/>
      <c r="F148" s="7"/>
      <c r="G148" s="7"/>
      <c r="H148" s="7"/>
      <c r="I148" s="7"/>
      <c r="J148" s="7"/>
      <c r="K148" s="7"/>
      <c r="L148" s="32"/>
      <c r="M148" s="32"/>
      <c r="N148" s="8"/>
      <c r="O148" s="8"/>
      <c r="P148" s="8"/>
    </row>
    <row r="149" spans="1:16">
      <c r="A149" s="106"/>
      <c r="B149" s="106"/>
      <c r="C149" s="29" t="s">
        <v>22</v>
      </c>
      <c r="D149" s="7"/>
      <c r="E149" s="7"/>
      <c r="F149" s="7"/>
      <c r="G149" s="7"/>
      <c r="H149" s="7"/>
      <c r="I149" s="7"/>
      <c r="J149" s="7"/>
      <c r="K149" s="7"/>
      <c r="L149" s="32"/>
      <c r="M149" s="32"/>
      <c r="N149" s="8"/>
      <c r="O149" s="8"/>
      <c r="P149" s="8"/>
    </row>
    <row r="150" spans="1:16">
      <c r="A150" s="106"/>
      <c r="B150" s="106"/>
      <c r="C150" s="29" t="s">
        <v>23</v>
      </c>
      <c r="D150" s="7"/>
      <c r="E150" s="7"/>
      <c r="F150" s="7"/>
      <c r="G150" s="7"/>
      <c r="H150" s="7"/>
      <c r="I150" s="7"/>
      <c r="J150" s="7"/>
      <c r="K150" s="7"/>
      <c r="L150" s="32"/>
      <c r="M150" s="32"/>
      <c r="N150" s="8"/>
      <c r="O150" s="8"/>
      <c r="P150" s="8"/>
    </row>
    <row r="151" spans="1:16" ht="13.5" customHeight="1">
      <c r="A151" s="107" t="s">
        <v>15</v>
      </c>
      <c r="B151" s="108" t="s">
        <v>537</v>
      </c>
      <c r="C151" s="11" t="s">
        <v>16</v>
      </c>
      <c r="D151" s="39">
        <f t="shared" ref="D151" si="40">SUM(D153:D158)</f>
        <v>294658.26003</v>
      </c>
      <c r="E151" s="39">
        <f>SUM(E153:E158)</f>
        <v>291104.92620000005</v>
      </c>
      <c r="F151" s="36">
        <f>SUM(F153:F158)</f>
        <v>11545.64834</v>
      </c>
      <c r="G151" s="36">
        <f t="shared" ref="G151:L151" si="41">SUM(G153:G158)</f>
        <v>11545.64834</v>
      </c>
      <c r="H151" s="36">
        <f t="shared" si="41"/>
        <v>29877.929540000001</v>
      </c>
      <c r="I151" s="36">
        <f t="shared" si="41"/>
        <v>29815.775570000002</v>
      </c>
      <c r="J151" s="36">
        <f t="shared" si="41"/>
        <v>46666.204460000008</v>
      </c>
      <c r="K151" s="36">
        <f t="shared" si="41"/>
        <v>46413.678200000009</v>
      </c>
      <c r="L151" s="36">
        <f t="shared" si="41"/>
        <v>66693.689690000014</v>
      </c>
      <c r="M151" s="36">
        <f>SUM(M153:M158)</f>
        <v>66558.378750000003</v>
      </c>
      <c r="N151" s="36">
        <f t="shared" ref="N151:O151" si="42">SUM(N153:N158)</f>
        <v>64377.4</v>
      </c>
      <c r="O151" s="36">
        <f t="shared" si="42"/>
        <v>63968.5</v>
      </c>
      <c r="P151" s="5"/>
    </row>
    <row r="152" spans="1:16">
      <c r="A152" s="107"/>
      <c r="B152" s="108"/>
      <c r="C152" s="11" t="s">
        <v>17</v>
      </c>
      <c r="D152" s="41"/>
      <c r="E152" s="41"/>
      <c r="F152" s="37"/>
      <c r="G152" s="37"/>
      <c r="H152" s="37"/>
      <c r="I152" s="37"/>
      <c r="J152" s="37"/>
      <c r="K152" s="37"/>
      <c r="L152" s="30"/>
      <c r="M152" s="30"/>
      <c r="N152" s="3"/>
      <c r="O152" s="3"/>
      <c r="P152" s="5"/>
    </row>
    <row r="153" spans="1:16">
      <c r="A153" s="107"/>
      <c r="B153" s="108"/>
      <c r="C153" s="11" t="s">
        <v>18</v>
      </c>
      <c r="D153" s="33">
        <f>D162+D170+D178+D186+D194</f>
        <v>36702.776419999995</v>
      </c>
      <c r="E153" s="33">
        <f>E162+E170+E178+E186+E194</f>
        <v>33675.323759999999</v>
      </c>
      <c r="F153" s="33">
        <f t="shared" ref="F153:K153" si="43">F203+F211+F219</f>
        <v>0</v>
      </c>
      <c r="G153" s="33">
        <f t="shared" si="43"/>
        <v>0</v>
      </c>
      <c r="H153" s="33">
        <f t="shared" si="43"/>
        <v>0</v>
      </c>
      <c r="I153" s="33">
        <f t="shared" si="43"/>
        <v>0</v>
      </c>
      <c r="J153" s="33">
        <f t="shared" si="43"/>
        <v>0</v>
      </c>
      <c r="K153" s="33">
        <f t="shared" si="43"/>
        <v>0</v>
      </c>
      <c r="L153" s="33">
        <f>L203+L211+L219</f>
        <v>717.1</v>
      </c>
      <c r="M153" s="33">
        <f t="shared" ref="M153:O153" si="44">M203+M211+M219</f>
        <v>717.04750000000001</v>
      </c>
      <c r="N153" s="33">
        <f t="shared" si="44"/>
        <v>0</v>
      </c>
      <c r="O153" s="33">
        <f t="shared" si="44"/>
        <v>0</v>
      </c>
      <c r="P153" s="6"/>
    </row>
    <row r="154" spans="1:16">
      <c r="A154" s="107"/>
      <c r="B154" s="108"/>
      <c r="C154" s="11" t="s">
        <v>19</v>
      </c>
      <c r="D154" s="33">
        <f t="shared" ref="D154:E155" si="45">D163+D171+D179+D187+D195</f>
        <v>256702.57461000004</v>
      </c>
      <c r="E154" s="33">
        <f t="shared" si="45"/>
        <v>256326.41744000002</v>
      </c>
      <c r="F154" s="33">
        <f t="shared" ref="F154:O154" si="46">F204+F212+F220</f>
        <v>11452.089</v>
      </c>
      <c r="G154" s="33">
        <f t="shared" si="46"/>
        <v>11452.089</v>
      </c>
      <c r="H154" s="33">
        <f t="shared" si="46"/>
        <v>29451.711620000002</v>
      </c>
      <c r="I154" s="33">
        <f t="shared" si="46"/>
        <v>29407.301650000001</v>
      </c>
      <c r="J154" s="33">
        <f t="shared" si="46"/>
        <v>45944.780300000006</v>
      </c>
      <c r="K154" s="33">
        <f t="shared" si="46"/>
        <v>45709.998040000006</v>
      </c>
      <c r="L154" s="33">
        <f t="shared" si="46"/>
        <v>64833.262900000002</v>
      </c>
      <c r="M154" s="33">
        <f t="shared" si="46"/>
        <v>64741.626340000003</v>
      </c>
      <c r="N154" s="33">
        <f t="shared" si="46"/>
        <v>63152.6</v>
      </c>
      <c r="O154" s="33">
        <f t="shared" si="46"/>
        <v>63152.6</v>
      </c>
      <c r="P154" s="8"/>
    </row>
    <row r="155" spans="1:16">
      <c r="A155" s="107"/>
      <c r="B155" s="108"/>
      <c r="C155" s="11" t="s">
        <v>20</v>
      </c>
      <c r="D155" s="33">
        <f t="shared" si="45"/>
        <v>1252.9090000000001</v>
      </c>
      <c r="E155" s="33">
        <f t="shared" si="45"/>
        <v>1103.1849999999999</v>
      </c>
      <c r="F155" s="33">
        <f t="shared" ref="F155:O155" si="47">F205+F213+F221</f>
        <v>93.559340000000006</v>
      </c>
      <c r="G155" s="33">
        <f t="shared" si="47"/>
        <v>93.559340000000006</v>
      </c>
      <c r="H155" s="33">
        <f t="shared" si="47"/>
        <v>426.21792000000005</v>
      </c>
      <c r="I155" s="33">
        <f t="shared" si="47"/>
        <v>408.47392000000002</v>
      </c>
      <c r="J155" s="33">
        <f t="shared" si="47"/>
        <v>721.42416000000003</v>
      </c>
      <c r="K155" s="33">
        <f t="shared" si="47"/>
        <v>703.68016</v>
      </c>
      <c r="L155" s="33">
        <f t="shared" si="47"/>
        <v>1143.3267900000001</v>
      </c>
      <c r="M155" s="33">
        <f t="shared" si="47"/>
        <v>1099.7049099999999</v>
      </c>
      <c r="N155" s="33">
        <f t="shared" si="47"/>
        <v>1224.8</v>
      </c>
      <c r="O155" s="33">
        <f t="shared" si="47"/>
        <v>815.9</v>
      </c>
      <c r="P155" s="8"/>
    </row>
    <row r="156" spans="1:16">
      <c r="A156" s="107"/>
      <c r="B156" s="108"/>
      <c r="C156" s="11" t="s">
        <v>21</v>
      </c>
      <c r="D156" s="7"/>
      <c r="E156" s="7"/>
      <c r="F156" s="7"/>
      <c r="G156" s="7"/>
      <c r="H156" s="7"/>
      <c r="I156" s="7"/>
      <c r="J156" s="7"/>
      <c r="K156" s="7"/>
      <c r="L156" s="32"/>
      <c r="M156" s="32"/>
      <c r="N156" s="32"/>
      <c r="O156" s="32"/>
      <c r="P156" s="8"/>
    </row>
    <row r="157" spans="1:16">
      <c r="A157" s="107"/>
      <c r="B157" s="108"/>
      <c r="C157" s="11" t="s">
        <v>22</v>
      </c>
      <c r="D157" s="7"/>
      <c r="E157" s="7"/>
      <c r="F157" s="7"/>
      <c r="G157" s="7"/>
      <c r="H157" s="7"/>
      <c r="I157" s="7"/>
      <c r="J157" s="7"/>
      <c r="K157" s="7"/>
      <c r="L157" s="32"/>
      <c r="M157" s="32"/>
      <c r="N157" s="32"/>
      <c r="O157" s="32"/>
      <c r="P157" s="8"/>
    </row>
    <row r="158" spans="1:16">
      <c r="A158" s="107"/>
      <c r="B158" s="108"/>
      <c r="C158" s="11" t="s">
        <v>23</v>
      </c>
      <c r="D158" s="7"/>
      <c r="E158" s="7"/>
      <c r="F158" s="7"/>
      <c r="G158" s="7"/>
      <c r="H158" s="7"/>
      <c r="I158" s="7"/>
      <c r="J158" s="7"/>
      <c r="K158" s="7"/>
      <c r="L158" s="32"/>
      <c r="M158" s="32"/>
      <c r="N158" s="32"/>
      <c r="O158" s="32"/>
      <c r="P158" s="8"/>
    </row>
    <row r="159" spans="1:16">
      <c r="A159" s="115" t="s">
        <v>708</v>
      </c>
      <c r="B159" s="116"/>
      <c r="C159" s="68"/>
      <c r="D159" s="7"/>
      <c r="E159" s="7"/>
      <c r="F159" s="7"/>
      <c r="G159" s="7"/>
      <c r="H159" s="7"/>
      <c r="I159" s="7"/>
      <c r="J159" s="7"/>
      <c r="K159" s="7"/>
      <c r="L159" s="32"/>
      <c r="M159" s="32"/>
      <c r="N159" s="32"/>
      <c r="O159" s="32"/>
      <c r="P159" s="8"/>
    </row>
    <row r="160" spans="1:16" ht="13.5" customHeight="1">
      <c r="A160" s="106" t="s">
        <v>25</v>
      </c>
      <c r="B160" s="106" t="s">
        <v>533</v>
      </c>
      <c r="C160" s="11" t="s">
        <v>16</v>
      </c>
      <c r="D160" s="32">
        <f>SUM(D162:D167)</f>
        <v>31807.850419999999</v>
      </c>
      <c r="E160" s="32">
        <f t="shared" ref="E160" si="48">SUM(E162:E167)</f>
        <v>31508.608520000009</v>
      </c>
      <c r="F160" s="32"/>
      <c r="G160" s="32"/>
      <c r="H160" s="32"/>
      <c r="I160" s="32"/>
      <c r="J160" s="32"/>
      <c r="K160" s="32"/>
      <c r="L160" s="32"/>
      <c r="M160" s="32"/>
      <c r="N160" s="32"/>
      <c r="O160" s="32"/>
      <c r="P160" s="8"/>
    </row>
    <row r="161" spans="1:16">
      <c r="A161" s="106"/>
      <c r="B161" s="106"/>
      <c r="C161" s="11" t="s">
        <v>17</v>
      </c>
      <c r="D161" s="32"/>
      <c r="E161" s="32"/>
      <c r="F161" s="32"/>
      <c r="G161" s="32"/>
      <c r="H161" s="32"/>
      <c r="I161" s="32"/>
      <c r="J161" s="32"/>
      <c r="K161" s="32"/>
      <c r="L161" s="32"/>
      <c r="M161" s="32"/>
      <c r="N161" s="32"/>
      <c r="O161" s="32"/>
      <c r="P161" s="8"/>
    </row>
    <row r="162" spans="1:16">
      <c r="A162" s="106"/>
      <c r="B162" s="106"/>
      <c r="C162" s="11" t="s">
        <v>26</v>
      </c>
      <c r="D162" s="32">
        <f>'приложение 9'!H218+'приложение 9'!H219+'приложение 9'!H220+'приложение 9'!H221</f>
        <v>1302.48542</v>
      </c>
      <c r="E162" s="32">
        <f>'приложение 9'!I218+'приложение 9'!I219+'приложение 9'!I220+'приложение 9'!I221</f>
        <v>1258.9560499999998</v>
      </c>
      <c r="F162" s="32"/>
      <c r="G162" s="32"/>
      <c r="H162" s="32"/>
      <c r="I162" s="32"/>
      <c r="J162" s="32"/>
      <c r="K162" s="32"/>
      <c r="L162" s="32"/>
      <c r="M162" s="32"/>
      <c r="N162" s="32"/>
      <c r="O162" s="32"/>
      <c r="P162" s="8"/>
    </row>
    <row r="163" spans="1:16">
      <c r="A163" s="106"/>
      <c r="B163" s="106"/>
      <c r="C163" s="11" t="s">
        <v>19</v>
      </c>
      <c r="D163" s="32">
        <f>'приложение 9'!H207+'приложение 9'!H208+'приложение 9'!H209+'приложение 9'!H210+'приложение 9'!H211+'приложение 9'!H212+'приложение 9'!H213+'приложение 9'!H214+'приложение 9'!H215+'приложение 9'!H216+'приложение 9'!H217</f>
        <v>29350.455999999998</v>
      </c>
      <c r="E163" s="32">
        <f>'приложение 9'!I207+'приложение 9'!I208+'приложение 9'!I209+'приложение 9'!I210+'приложение 9'!I211+'приложение 9'!I212+'приложение 9'!I213+'приложение 9'!I214+'приложение 9'!I215+'приложение 9'!I216+'приложение 9'!I217</f>
        <v>29244.467470000007</v>
      </c>
      <c r="F163" s="32"/>
      <c r="G163" s="32"/>
      <c r="H163" s="32"/>
      <c r="I163" s="32"/>
      <c r="J163" s="32"/>
      <c r="K163" s="32"/>
      <c r="L163" s="32"/>
      <c r="M163" s="32"/>
      <c r="N163" s="32"/>
      <c r="O163" s="32"/>
      <c r="P163" s="8"/>
    </row>
    <row r="164" spans="1:16">
      <c r="A164" s="106"/>
      <c r="B164" s="106"/>
      <c r="C164" s="11" t="s">
        <v>20</v>
      </c>
      <c r="D164" s="32">
        <f>'приложение 9'!H222+'приложение 9'!H223+'приложение 9'!H224+'приложение 9'!H225+'приложение 9'!H226+'приложение 9'!H227+'приложение 9'!H228+'приложение 9'!H229+'приложение 9'!H230+'приложение 9'!H231</f>
        <v>1154.9090000000001</v>
      </c>
      <c r="E164" s="32">
        <f>'приложение 9'!I222+'приложение 9'!I223+'приложение 9'!I224+'приложение 9'!I225+'приложение 9'!I226+'приложение 9'!I227+'приложение 9'!I228+'приложение 9'!I229+'приложение 9'!I230+'приложение 9'!I231</f>
        <v>1005.1849999999999</v>
      </c>
      <c r="F164" s="32"/>
      <c r="G164" s="32"/>
      <c r="H164" s="32"/>
      <c r="I164" s="32"/>
      <c r="J164" s="32"/>
      <c r="K164" s="32"/>
      <c r="L164" s="32"/>
      <c r="M164" s="32"/>
      <c r="N164" s="32"/>
      <c r="O164" s="32"/>
      <c r="P164" s="8"/>
    </row>
    <row r="165" spans="1:16">
      <c r="A165" s="106"/>
      <c r="B165" s="106"/>
      <c r="C165" s="11" t="s">
        <v>21</v>
      </c>
      <c r="D165" s="32"/>
      <c r="E165" s="32"/>
      <c r="F165" s="32"/>
      <c r="G165" s="32"/>
      <c r="H165" s="32"/>
      <c r="I165" s="32"/>
      <c r="J165" s="32"/>
      <c r="K165" s="32"/>
      <c r="L165" s="32"/>
      <c r="M165" s="32"/>
      <c r="N165" s="32"/>
      <c r="O165" s="32"/>
      <c r="P165" s="8"/>
    </row>
    <row r="166" spans="1:16">
      <c r="A166" s="106"/>
      <c r="B166" s="106"/>
      <c r="C166" s="11" t="s">
        <v>22</v>
      </c>
      <c r="D166" s="32"/>
      <c r="E166" s="32"/>
      <c r="F166" s="32"/>
      <c r="G166" s="32"/>
      <c r="H166" s="32"/>
      <c r="I166" s="32"/>
      <c r="J166" s="32"/>
      <c r="K166" s="32"/>
      <c r="L166" s="32"/>
      <c r="M166" s="32"/>
      <c r="N166" s="8"/>
      <c r="O166" s="8"/>
      <c r="P166" s="8"/>
    </row>
    <row r="167" spans="1:16">
      <c r="A167" s="106"/>
      <c r="B167" s="106"/>
      <c r="C167" s="11" t="s">
        <v>23</v>
      </c>
      <c r="D167" s="32"/>
      <c r="E167" s="32"/>
      <c r="F167" s="32"/>
      <c r="G167" s="32"/>
      <c r="H167" s="32"/>
      <c r="I167" s="32"/>
      <c r="J167" s="32"/>
      <c r="K167" s="32"/>
      <c r="L167" s="32"/>
      <c r="M167" s="32"/>
      <c r="N167" s="8"/>
      <c r="O167" s="8"/>
      <c r="P167" s="8"/>
    </row>
    <row r="168" spans="1:16" ht="13.5" customHeight="1">
      <c r="A168" s="106" t="s">
        <v>530</v>
      </c>
      <c r="B168" s="106" t="s">
        <v>539</v>
      </c>
      <c r="C168" s="11" t="s">
        <v>16</v>
      </c>
      <c r="D168" s="32">
        <f>SUM(D170:D175)</f>
        <v>37097.026840000006</v>
      </c>
      <c r="E168" s="32">
        <f t="shared" ref="E168" si="49">SUM(E170:E175)</f>
        <v>37097.025860000002</v>
      </c>
      <c r="F168" s="32"/>
      <c r="G168" s="32"/>
      <c r="H168" s="32"/>
      <c r="I168" s="32"/>
      <c r="J168" s="32"/>
      <c r="K168" s="32"/>
      <c r="L168" s="32"/>
      <c r="M168" s="32"/>
      <c r="N168" s="32"/>
      <c r="O168" s="32"/>
      <c r="P168" s="8"/>
    </row>
    <row r="169" spans="1:16">
      <c r="A169" s="106"/>
      <c r="B169" s="106"/>
      <c r="C169" s="11" t="s">
        <v>17</v>
      </c>
      <c r="D169" s="32"/>
      <c r="E169" s="32"/>
      <c r="F169" s="32"/>
      <c r="G169" s="32"/>
      <c r="H169" s="32"/>
      <c r="I169" s="32"/>
      <c r="J169" s="32"/>
      <c r="K169" s="32"/>
      <c r="L169" s="32"/>
      <c r="M169" s="32"/>
      <c r="N169" s="32"/>
      <c r="O169" s="32"/>
      <c r="P169" s="8"/>
    </row>
    <row r="170" spans="1:16">
      <c r="A170" s="106"/>
      <c r="B170" s="106"/>
      <c r="C170" s="11" t="s">
        <v>27</v>
      </c>
      <c r="D170" s="32"/>
      <c r="E170" s="32"/>
      <c r="F170" s="32"/>
      <c r="G170" s="32"/>
      <c r="H170" s="32"/>
      <c r="I170" s="32"/>
      <c r="J170" s="32"/>
      <c r="K170" s="32"/>
      <c r="L170" s="32"/>
      <c r="M170" s="32"/>
      <c r="N170" s="32"/>
      <c r="O170" s="32"/>
      <c r="P170" s="8"/>
    </row>
    <row r="171" spans="1:16">
      <c r="A171" s="106"/>
      <c r="B171" s="106"/>
      <c r="C171" s="11" t="s">
        <v>19</v>
      </c>
      <c r="D171" s="32">
        <f>'приложение 9'!H234+'приложение 9'!H235+'приложение 9'!H236+'приложение 9'!H237+'приложение 9'!H238+'приложение 9'!H239+'приложение 9'!H240+'приложение 9'!H241</f>
        <v>36999.026840000006</v>
      </c>
      <c r="E171" s="32">
        <f>'приложение 9'!I234+'приложение 9'!I235+'приложение 9'!I236+'приложение 9'!I237+'приложение 9'!I238+'приложение 9'!I239+'приложение 9'!I240+'приложение 9'!I241</f>
        <v>36999.025860000002</v>
      </c>
      <c r="F171" s="32"/>
      <c r="G171" s="32"/>
      <c r="H171" s="32"/>
      <c r="I171" s="32"/>
      <c r="J171" s="32"/>
      <c r="K171" s="32"/>
      <c r="L171" s="32"/>
      <c r="M171" s="32"/>
      <c r="N171" s="32"/>
      <c r="O171" s="32"/>
      <c r="P171" s="8"/>
    </row>
    <row r="172" spans="1:16">
      <c r="A172" s="106"/>
      <c r="B172" s="106"/>
      <c r="C172" s="11" t="s">
        <v>20</v>
      </c>
      <c r="D172" s="32">
        <f>'приложение 9'!H242</f>
        <v>98</v>
      </c>
      <c r="E172" s="32">
        <f>'приложение 9'!I242</f>
        <v>98</v>
      </c>
      <c r="F172" s="32"/>
      <c r="G172" s="32"/>
      <c r="H172" s="32"/>
      <c r="I172" s="32"/>
      <c r="J172" s="32"/>
      <c r="K172" s="32"/>
      <c r="L172" s="32"/>
      <c r="M172" s="32"/>
      <c r="N172" s="32"/>
      <c r="O172" s="32"/>
      <c r="P172" s="8"/>
    </row>
    <row r="173" spans="1:16">
      <c r="A173" s="106"/>
      <c r="B173" s="106"/>
      <c r="C173" s="11" t="s">
        <v>21</v>
      </c>
      <c r="D173" s="7"/>
      <c r="E173" s="7"/>
      <c r="F173" s="7"/>
      <c r="G173" s="7"/>
      <c r="H173" s="7"/>
      <c r="I173" s="7"/>
      <c r="J173" s="7"/>
      <c r="K173" s="7"/>
      <c r="L173" s="32"/>
      <c r="M173" s="32"/>
      <c r="N173" s="32"/>
      <c r="O173" s="32"/>
      <c r="P173" s="8"/>
    </row>
    <row r="174" spans="1:16">
      <c r="A174" s="106"/>
      <c r="B174" s="106"/>
      <c r="C174" s="11" t="s">
        <v>22</v>
      </c>
      <c r="D174" s="7"/>
      <c r="E174" s="7"/>
      <c r="F174" s="7"/>
      <c r="G174" s="7"/>
      <c r="H174" s="7"/>
      <c r="I174" s="7"/>
      <c r="J174" s="7"/>
      <c r="K174" s="7"/>
      <c r="L174" s="32"/>
      <c r="M174" s="32"/>
      <c r="N174" s="32"/>
      <c r="O174" s="32"/>
      <c r="P174" s="8"/>
    </row>
    <row r="175" spans="1:16">
      <c r="A175" s="106"/>
      <c r="B175" s="106"/>
      <c r="C175" s="11" t="s">
        <v>23</v>
      </c>
      <c r="D175" s="7"/>
      <c r="E175" s="7"/>
      <c r="F175" s="7"/>
      <c r="G175" s="7"/>
      <c r="H175" s="7"/>
      <c r="I175" s="7"/>
      <c r="J175" s="7"/>
      <c r="K175" s="7"/>
      <c r="L175" s="32"/>
      <c r="M175" s="32"/>
      <c r="N175" s="32"/>
      <c r="O175" s="32"/>
      <c r="P175" s="8"/>
    </row>
    <row r="176" spans="1:16" ht="13.5" customHeight="1">
      <c r="A176" s="106" t="s">
        <v>531</v>
      </c>
      <c r="B176" s="106" t="s">
        <v>540</v>
      </c>
      <c r="C176" s="29" t="s">
        <v>16</v>
      </c>
      <c r="D176" s="32">
        <f>SUM(D178:D183)</f>
        <v>162517.19099999999</v>
      </c>
      <c r="E176" s="32">
        <f t="shared" ref="E176" si="50">SUM(E178:E183)</f>
        <v>159263.10004999998</v>
      </c>
      <c r="F176" s="32"/>
      <c r="G176" s="32"/>
      <c r="H176" s="32"/>
      <c r="I176" s="32"/>
      <c r="J176" s="32"/>
      <c r="K176" s="32"/>
      <c r="L176" s="32"/>
      <c r="M176" s="32"/>
      <c r="N176" s="32"/>
      <c r="O176" s="32"/>
      <c r="P176" s="8"/>
    </row>
    <row r="177" spans="1:16">
      <c r="A177" s="106"/>
      <c r="B177" s="106"/>
      <c r="C177" s="29" t="s">
        <v>17</v>
      </c>
      <c r="D177" s="32"/>
      <c r="E177" s="32"/>
      <c r="F177" s="32"/>
      <c r="G177" s="32"/>
      <c r="H177" s="32"/>
      <c r="I177" s="32"/>
      <c r="J177" s="32"/>
      <c r="K177" s="32"/>
      <c r="L177" s="32"/>
      <c r="M177" s="32"/>
      <c r="N177" s="32"/>
      <c r="O177" s="32"/>
      <c r="P177" s="8"/>
    </row>
    <row r="178" spans="1:16">
      <c r="A178" s="106"/>
      <c r="B178" s="106"/>
      <c r="C178" s="29" t="s">
        <v>27</v>
      </c>
      <c r="D178" s="32">
        <f>'приложение 9'!H248</f>
        <v>35400.290999999997</v>
      </c>
      <c r="E178" s="32">
        <f>'приложение 9'!I248</f>
        <v>32416.367709999999</v>
      </c>
      <c r="F178" s="32"/>
      <c r="G178" s="32"/>
      <c r="H178" s="32"/>
      <c r="I178" s="32"/>
      <c r="J178" s="32"/>
      <c r="K178" s="32"/>
      <c r="L178" s="32"/>
      <c r="M178" s="32"/>
      <c r="N178" s="32"/>
      <c r="O178" s="32"/>
      <c r="P178" s="8"/>
    </row>
    <row r="179" spans="1:16">
      <c r="A179" s="106"/>
      <c r="B179" s="106"/>
      <c r="C179" s="29" t="s">
        <v>19</v>
      </c>
      <c r="D179" s="32">
        <f>'приложение 9'!H245+'приложение 9'!H246+'приложение 9'!H247</f>
        <v>127116.90000000001</v>
      </c>
      <c r="E179" s="32">
        <f>'приложение 9'!I245+'приложение 9'!I246+'приложение 9'!I247</f>
        <v>126846.73233999999</v>
      </c>
      <c r="F179" s="32"/>
      <c r="G179" s="32"/>
      <c r="H179" s="32"/>
      <c r="I179" s="32"/>
      <c r="J179" s="32"/>
      <c r="K179" s="32"/>
      <c r="L179" s="32"/>
      <c r="M179" s="32"/>
      <c r="N179" s="32"/>
      <c r="O179" s="32"/>
      <c r="P179" s="8"/>
    </row>
    <row r="180" spans="1:16">
      <c r="A180" s="106"/>
      <c r="B180" s="106"/>
      <c r="C180" s="29" t="s">
        <v>20</v>
      </c>
      <c r="D180" s="7"/>
      <c r="E180" s="7"/>
      <c r="F180" s="7"/>
      <c r="G180" s="7"/>
      <c r="H180" s="7"/>
      <c r="I180" s="7"/>
      <c r="J180" s="7"/>
      <c r="K180" s="7"/>
      <c r="L180" s="32"/>
      <c r="M180" s="32"/>
      <c r="N180" s="8"/>
      <c r="O180" s="8"/>
      <c r="P180" s="8"/>
    </row>
    <row r="181" spans="1:16">
      <c r="A181" s="106"/>
      <c r="B181" s="106"/>
      <c r="C181" s="29" t="s">
        <v>21</v>
      </c>
      <c r="D181" s="7"/>
      <c r="E181" s="7"/>
      <c r="F181" s="7"/>
      <c r="G181" s="7"/>
      <c r="H181" s="7"/>
      <c r="I181" s="7"/>
      <c r="J181" s="7"/>
      <c r="K181" s="7"/>
      <c r="L181" s="32"/>
      <c r="M181" s="32"/>
      <c r="N181" s="8"/>
      <c r="O181" s="8"/>
      <c r="P181" s="8"/>
    </row>
    <row r="182" spans="1:16">
      <c r="A182" s="106"/>
      <c r="B182" s="106"/>
      <c r="C182" s="29" t="s">
        <v>22</v>
      </c>
      <c r="D182" s="7"/>
      <c r="E182" s="7"/>
      <c r="F182" s="7"/>
      <c r="G182" s="7"/>
      <c r="H182" s="7"/>
      <c r="I182" s="7"/>
      <c r="J182" s="7"/>
      <c r="K182" s="7"/>
      <c r="L182" s="32"/>
      <c r="M182" s="32"/>
      <c r="N182" s="8"/>
      <c r="O182" s="8"/>
      <c r="P182" s="8"/>
    </row>
    <row r="183" spans="1:16">
      <c r="A183" s="106"/>
      <c r="B183" s="106"/>
      <c r="C183" s="29" t="s">
        <v>23</v>
      </c>
      <c r="D183" s="7"/>
      <c r="E183" s="7"/>
      <c r="F183" s="7"/>
      <c r="G183" s="7"/>
      <c r="H183" s="7"/>
      <c r="I183" s="7"/>
      <c r="J183" s="7"/>
      <c r="K183" s="7"/>
      <c r="L183" s="32"/>
      <c r="M183" s="32"/>
      <c r="N183" s="8"/>
      <c r="O183" s="8"/>
      <c r="P183" s="8"/>
    </row>
    <row r="184" spans="1:16" ht="13.5" customHeight="1">
      <c r="A184" s="106" t="s">
        <v>532</v>
      </c>
      <c r="B184" s="106" t="s">
        <v>541</v>
      </c>
      <c r="C184" s="29" t="s">
        <v>16</v>
      </c>
      <c r="D184" s="32">
        <f>SUM(D186:D191)</f>
        <v>51006.091769999999</v>
      </c>
      <c r="E184" s="32">
        <f t="shared" ref="E184" si="51">SUM(E186:E191)</f>
        <v>51006.091769999999</v>
      </c>
      <c r="F184" s="32"/>
      <c r="G184" s="32"/>
      <c r="H184" s="32"/>
      <c r="I184" s="32"/>
      <c r="J184" s="32"/>
      <c r="K184" s="32"/>
      <c r="L184" s="32"/>
      <c r="M184" s="32"/>
      <c r="N184" s="32"/>
      <c r="O184" s="32"/>
      <c r="P184" s="8"/>
    </row>
    <row r="185" spans="1:16">
      <c r="A185" s="106"/>
      <c r="B185" s="106"/>
      <c r="C185" s="29" t="s">
        <v>17</v>
      </c>
      <c r="D185" s="32"/>
      <c r="E185" s="32"/>
      <c r="F185" s="32"/>
      <c r="G185" s="32"/>
      <c r="H185" s="32"/>
      <c r="I185" s="32"/>
      <c r="J185" s="32"/>
      <c r="K185" s="32"/>
      <c r="L185" s="32"/>
      <c r="M185" s="32"/>
      <c r="N185" s="32"/>
      <c r="O185" s="32"/>
      <c r="P185" s="8"/>
    </row>
    <row r="186" spans="1:16">
      <c r="A186" s="106"/>
      <c r="B186" s="106"/>
      <c r="C186" s="29" t="s">
        <v>27</v>
      </c>
      <c r="D186" s="32"/>
      <c r="E186" s="32"/>
      <c r="F186" s="32"/>
      <c r="G186" s="32"/>
      <c r="H186" s="32"/>
      <c r="I186" s="32"/>
      <c r="J186" s="32"/>
      <c r="K186" s="32"/>
      <c r="L186" s="32"/>
      <c r="M186" s="32"/>
      <c r="N186" s="32"/>
      <c r="O186" s="32"/>
      <c r="P186" s="8"/>
    </row>
    <row r="187" spans="1:16">
      <c r="A187" s="106"/>
      <c r="B187" s="106"/>
      <c r="C187" s="29" t="s">
        <v>19</v>
      </c>
      <c r="D187" s="32">
        <f>'приложение 9'!H250</f>
        <v>51006.091769999999</v>
      </c>
      <c r="E187" s="32">
        <f>'приложение 9'!I250</f>
        <v>51006.091769999999</v>
      </c>
      <c r="F187" s="32"/>
      <c r="G187" s="32"/>
      <c r="H187" s="32"/>
      <c r="I187" s="32"/>
      <c r="J187" s="32"/>
      <c r="K187" s="32"/>
      <c r="L187" s="32"/>
      <c r="M187" s="32"/>
      <c r="N187" s="32"/>
      <c r="O187" s="32"/>
      <c r="P187" s="8"/>
    </row>
    <row r="188" spans="1:16">
      <c r="A188" s="106"/>
      <c r="B188" s="106"/>
      <c r="C188" s="29" t="s">
        <v>20</v>
      </c>
      <c r="D188" s="7"/>
      <c r="E188" s="7"/>
      <c r="F188" s="7"/>
      <c r="G188" s="7"/>
      <c r="H188" s="7"/>
      <c r="I188" s="7"/>
      <c r="J188" s="7"/>
      <c r="K188" s="7"/>
      <c r="L188" s="32"/>
      <c r="M188" s="32"/>
      <c r="N188" s="32"/>
      <c r="O188" s="32"/>
      <c r="P188" s="8"/>
    </row>
    <row r="189" spans="1:16">
      <c r="A189" s="106"/>
      <c r="B189" s="106"/>
      <c r="C189" s="29" t="s">
        <v>21</v>
      </c>
      <c r="D189" s="7"/>
      <c r="E189" s="7"/>
      <c r="F189" s="7"/>
      <c r="G189" s="7"/>
      <c r="H189" s="7"/>
      <c r="I189" s="7"/>
      <c r="J189" s="7"/>
      <c r="K189" s="7"/>
      <c r="L189" s="32"/>
      <c r="M189" s="32"/>
      <c r="N189" s="32"/>
      <c r="O189" s="32"/>
      <c r="P189" s="8"/>
    </row>
    <row r="190" spans="1:16">
      <c r="A190" s="106"/>
      <c r="B190" s="106"/>
      <c r="C190" s="29" t="s">
        <v>22</v>
      </c>
      <c r="D190" s="7"/>
      <c r="E190" s="7"/>
      <c r="F190" s="7"/>
      <c r="G190" s="7"/>
      <c r="H190" s="7"/>
      <c r="I190" s="7"/>
      <c r="J190" s="7"/>
      <c r="K190" s="7"/>
      <c r="L190" s="32"/>
      <c r="M190" s="32"/>
      <c r="N190" s="32"/>
      <c r="O190" s="32"/>
      <c r="P190" s="8"/>
    </row>
    <row r="191" spans="1:16">
      <c r="A191" s="106"/>
      <c r="B191" s="106"/>
      <c r="C191" s="29" t="s">
        <v>23</v>
      </c>
      <c r="D191" s="7"/>
      <c r="E191" s="7"/>
      <c r="F191" s="7"/>
      <c r="G191" s="7"/>
      <c r="H191" s="7"/>
      <c r="I191" s="7"/>
      <c r="J191" s="7"/>
      <c r="K191" s="7"/>
      <c r="L191" s="32"/>
      <c r="M191" s="32"/>
      <c r="N191" s="32"/>
      <c r="O191" s="32"/>
      <c r="P191" s="8"/>
    </row>
    <row r="192" spans="1:16" ht="13.5" customHeight="1">
      <c r="A192" s="106" t="s">
        <v>538</v>
      </c>
      <c r="B192" s="106" t="s">
        <v>537</v>
      </c>
      <c r="C192" s="29" t="s">
        <v>16</v>
      </c>
      <c r="D192" s="32">
        <f t="shared" ref="D192:E192" si="52">SUM(D194:D199)</f>
        <v>12230.099999999999</v>
      </c>
      <c r="E192" s="32">
        <f t="shared" si="52"/>
        <v>12230.099999999999</v>
      </c>
      <c r="F192" s="32"/>
      <c r="G192" s="32"/>
      <c r="H192" s="32"/>
      <c r="I192" s="32"/>
      <c r="J192" s="32"/>
      <c r="K192" s="32"/>
      <c r="L192" s="32"/>
      <c r="M192" s="32"/>
      <c r="N192" s="32"/>
      <c r="O192" s="32"/>
      <c r="P192" s="8"/>
    </row>
    <row r="193" spans="1:16">
      <c r="A193" s="106"/>
      <c r="B193" s="106"/>
      <c r="C193" s="29" t="s">
        <v>17</v>
      </c>
      <c r="D193" s="32"/>
      <c r="E193" s="32"/>
      <c r="F193" s="32"/>
      <c r="G193" s="32"/>
      <c r="H193" s="32"/>
      <c r="I193" s="32"/>
      <c r="J193" s="32"/>
      <c r="K193" s="32"/>
      <c r="L193" s="32"/>
      <c r="M193" s="32"/>
      <c r="N193" s="32"/>
      <c r="O193" s="32"/>
      <c r="P193" s="8"/>
    </row>
    <row r="194" spans="1:16">
      <c r="A194" s="106"/>
      <c r="B194" s="106"/>
      <c r="C194" s="29" t="s">
        <v>27</v>
      </c>
      <c r="D194" s="32"/>
      <c r="E194" s="32"/>
      <c r="F194" s="32"/>
      <c r="G194" s="32"/>
      <c r="H194" s="32"/>
      <c r="I194" s="32"/>
      <c r="J194" s="32"/>
      <c r="K194" s="32"/>
      <c r="L194" s="32"/>
      <c r="M194" s="32"/>
      <c r="N194" s="32"/>
      <c r="O194" s="32"/>
      <c r="P194" s="8"/>
    </row>
    <row r="195" spans="1:16">
      <c r="A195" s="106"/>
      <c r="B195" s="106"/>
      <c r="C195" s="29" t="s">
        <v>19</v>
      </c>
      <c r="D195" s="32">
        <f>'приложение 9'!H252+'приложение 9'!H253</f>
        <v>12230.099999999999</v>
      </c>
      <c r="E195" s="32">
        <f>'приложение 9'!I252+'приложение 9'!I253</f>
        <v>12230.099999999999</v>
      </c>
      <c r="F195" s="32"/>
      <c r="G195" s="32"/>
      <c r="H195" s="32"/>
      <c r="I195" s="32"/>
      <c r="J195" s="32"/>
      <c r="K195" s="32"/>
      <c r="L195" s="32"/>
      <c r="M195" s="32"/>
      <c r="N195" s="32"/>
      <c r="O195" s="32"/>
      <c r="P195" s="8"/>
    </row>
    <row r="196" spans="1:16">
      <c r="A196" s="106"/>
      <c r="B196" s="106"/>
      <c r="C196" s="29" t="s">
        <v>20</v>
      </c>
      <c r="D196" s="32"/>
      <c r="E196" s="32"/>
      <c r="F196" s="7"/>
      <c r="G196" s="7"/>
      <c r="H196" s="7"/>
      <c r="I196" s="7"/>
      <c r="J196" s="7"/>
      <c r="K196" s="7"/>
      <c r="L196" s="32"/>
      <c r="M196" s="32"/>
      <c r="N196" s="8"/>
      <c r="O196" s="8"/>
      <c r="P196" s="8"/>
    </row>
    <row r="197" spans="1:16">
      <c r="A197" s="106"/>
      <c r="B197" s="106"/>
      <c r="C197" s="29" t="s">
        <v>21</v>
      </c>
      <c r="D197" s="7"/>
      <c r="E197" s="7"/>
      <c r="F197" s="7"/>
      <c r="G197" s="7"/>
      <c r="H197" s="7"/>
      <c r="I197" s="7"/>
      <c r="J197" s="7"/>
      <c r="K197" s="7"/>
      <c r="L197" s="32"/>
      <c r="M197" s="32"/>
      <c r="N197" s="8"/>
      <c r="O197" s="8"/>
      <c r="P197" s="8"/>
    </row>
    <row r="198" spans="1:16">
      <c r="A198" s="106"/>
      <c r="B198" s="106"/>
      <c r="C198" s="29" t="s">
        <v>22</v>
      </c>
      <c r="D198" s="7"/>
      <c r="E198" s="7"/>
      <c r="F198" s="7"/>
      <c r="G198" s="7"/>
      <c r="H198" s="7"/>
      <c r="I198" s="7"/>
      <c r="J198" s="7"/>
      <c r="K198" s="7"/>
      <c r="L198" s="32"/>
      <c r="M198" s="32"/>
      <c r="N198" s="8"/>
      <c r="O198" s="8"/>
      <c r="P198" s="8"/>
    </row>
    <row r="199" spans="1:16">
      <c r="A199" s="106"/>
      <c r="B199" s="106"/>
      <c r="C199" s="29" t="s">
        <v>23</v>
      </c>
      <c r="D199" s="7"/>
      <c r="E199" s="7"/>
      <c r="F199" s="7"/>
      <c r="G199" s="7"/>
      <c r="H199" s="7"/>
      <c r="I199" s="7"/>
      <c r="J199" s="7"/>
      <c r="K199" s="7"/>
      <c r="L199" s="32"/>
      <c r="M199" s="32"/>
      <c r="N199" s="8"/>
      <c r="O199" s="8"/>
      <c r="P199" s="8"/>
    </row>
    <row r="200" spans="1:16">
      <c r="A200" s="115" t="s">
        <v>709</v>
      </c>
      <c r="B200" s="116"/>
      <c r="C200" s="68"/>
      <c r="D200" s="7"/>
      <c r="E200" s="7"/>
      <c r="F200" s="7"/>
      <c r="G200" s="7"/>
      <c r="H200" s="7"/>
      <c r="I200" s="7"/>
      <c r="J200" s="7"/>
      <c r="K200" s="7"/>
      <c r="L200" s="32"/>
      <c r="M200" s="32"/>
      <c r="N200" s="32"/>
      <c r="O200" s="32"/>
      <c r="P200" s="8"/>
    </row>
    <row r="201" spans="1:16" ht="13.5" customHeight="1">
      <c r="A201" s="106" t="s">
        <v>25</v>
      </c>
      <c r="B201" s="106" t="s">
        <v>714</v>
      </c>
      <c r="C201" s="68" t="s">
        <v>16</v>
      </c>
      <c r="D201" s="32"/>
      <c r="E201" s="32"/>
      <c r="F201" s="32">
        <f t="shared" ref="F201:O201" si="53">SUM(F203:F208)</f>
        <v>9514.8889999999992</v>
      </c>
      <c r="G201" s="32">
        <f t="shared" si="53"/>
        <v>9514.8889999999992</v>
      </c>
      <c r="H201" s="32">
        <f t="shared" si="53"/>
        <v>24238.971000000001</v>
      </c>
      <c r="I201" s="32">
        <f t="shared" si="53"/>
        <v>24238.971000000001</v>
      </c>
      <c r="J201" s="32">
        <f t="shared" si="53"/>
        <v>36722.465000000004</v>
      </c>
      <c r="K201" s="32">
        <f t="shared" si="53"/>
        <v>36722.465000000004</v>
      </c>
      <c r="L201" s="32">
        <f>SUM(L203:L208)</f>
        <v>52851.554600000003</v>
      </c>
      <c r="M201" s="32">
        <f t="shared" si="53"/>
        <v>52851.554600000003</v>
      </c>
      <c r="N201" s="32">
        <f t="shared" si="53"/>
        <v>52602.5</v>
      </c>
      <c r="O201" s="32">
        <f t="shared" si="53"/>
        <v>52602.5</v>
      </c>
      <c r="P201" s="8"/>
    </row>
    <row r="202" spans="1:16">
      <c r="A202" s="106"/>
      <c r="B202" s="106"/>
      <c r="C202" s="68" t="s">
        <v>17</v>
      </c>
      <c r="D202" s="32"/>
      <c r="E202" s="32"/>
      <c r="F202" s="32"/>
      <c r="G202" s="32"/>
      <c r="H202" s="32"/>
      <c r="I202" s="32"/>
      <c r="J202" s="32"/>
      <c r="K202" s="32"/>
      <c r="L202" s="32"/>
      <c r="M202" s="32"/>
      <c r="N202" s="32"/>
      <c r="O202" s="32"/>
      <c r="P202" s="8"/>
    </row>
    <row r="203" spans="1:16">
      <c r="A203" s="106"/>
      <c r="B203" s="106"/>
      <c r="C203" s="68" t="s">
        <v>26</v>
      </c>
      <c r="D203" s="32"/>
      <c r="E203" s="32"/>
      <c r="F203" s="32"/>
      <c r="G203" s="32"/>
      <c r="H203" s="32"/>
      <c r="I203" s="32"/>
      <c r="J203" s="32"/>
      <c r="K203" s="32"/>
      <c r="L203" s="32"/>
      <c r="M203" s="32"/>
      <c r="N203" s="32"/>
      <c r="O203" s="32"/>
      <c r="P203" s="8"/>
    </row>
    <row r="204" spans="1:16">
      <c r="A204" s="106"/>
      <c r="B204" s="106"/>
      <c r="C204" s="68" t="s">
        <v>19</v>
      </c>
      <c r="D204" s="32"/>
      <c r="E204" s="32"/>
      <c r="F204" s="32">
        <f>'приложение 9'!J257+'приложение 9'!J258</f>
        <v>9514.8889999999992</v>
      </c>
      <c r="G204" s="32">
        <f>'приложение 9'!K257+'приложение 9'!K258</f>
        <v>9514.8889999999992</v>
      </c>
      <c r="H204" s="32">
        <f>'приложение 9'!L257+'приложение 9'!L258</f>
        <v>24238.971000000001</v>
      </c>
      <c r="I204" s="32">
        <f>'приложение 9'!M257+'приложение 9'!M258</f>
        <v>24238.971000000001</v>
      </c>
      <c r="J204" s="32">
        <f>'приложение 9'!N257+'приложение 9'!N258</f>
        <v>36722.465000000004</v>
      </c>
      <c r="K204" s="32">
        <f>'приложение 9'!O257+'приложение 9'!O258</f>
        <v>36722.465000000004</v>
      </c>
      <c r="L204" s="32">
        <f>'приложение 9'!P257+'приложение 9'!P258</f>
        <v>52851.554600000003</v>
      </c>
      <c r="M204" s="32">
        <f>'приложение 9'!Q257+'приложение 9'!Q258</f>
        <v>52851.554600000003</v>
      </c>
      <c r="N204" s="32">
        <f>'приложение 9'!R257+'приложение 9'!R258</f>
        <v>52602.5</v>
      </c>
      <c r="O204" s="32">
        <f>'приложение 9'!S257+'приложение 9'!S258</f>
        <v>52602.5</v>
      </c>
      <c r="P204" s="8"/>
    </row>
    <row r="205" spans="1:16">
      <c r="A205" s="106"/>
      <c r="B205" s="106"/>
      <c r="C205" s="68" t="s">
        <v>20</v>
      </c>
      <c r="D205" s="32"/>
      <c r="E205" s="32"/>
      <c r="F205" s="32"/>
      <c r="G205" s="32"/>
      <c r="H205" s="32"/>
      <c r="I205" s="32"/>
      <c r="J205" s="32"/>
      <c r="K205" s="32"/>
      <c r="L205" s="32"/>
      <c r="M205" s="32"/>
      <c r="N205" s="32"/>
      <c r="O205" s="32"/>
      <c r="P205" s="8"/>
    </row>
    <row r="206" spans="1:16">
      <c r="A206" s="106"/>
      <c r="B206" s="106"/>
      <c r="C206" s="68" t="s">
        <v>21</v>
      </c>
      <c r="D206" s="32"/>
      <c r="E206" s="32"/>
      <c r="F206" s="32"/>
      <c r="G206" s="32"/>
      <c r="H206" s="32"/>
      <c r="I206" s="32"/>
      <c r="J206" s="32"/>
      <c r="K206" s="32"/>
      <c r="L206" s="32"/>
      <c r="M206" s="32"/>
      <c r="N206" s="32"/>
      <c r="O206" s="32"/>
      <c r="P206" s="8"/>
    </row>
    <row r="207" spans="1:16">
      <c r="A207" s="106"/>
      <c r="B207" s="106"/>
      <c r="C207" s="68" t="s">
        <v>22</v>
      </c>
      <c r="D207" s="32"/>
      <c r="E207" s="32"/>
      <c r="F207" s="32"/>
      <c r="G207" s="32"/>
      <c r="H207" s="32"/>
      <c r="I207" s="32"/>
      <c r="J207" s="32"/>
      <c r="K207" s="32"/>
      <c r="L207" s="32"/>
      <c r="M207" s="32"/>
      <c r="N207" s="8"/>
      <c r="O207" s="8"/>
      <c r="P207" s="8"/>
    </row>
    <row r="208" spans="1:16">
      <c r="A208" s="106"/>
      <c r="B208" s="106"/>
      <c r="C208" s="68" t="s">
        <v>23</v>
      </c>
      <c r="D208" s="32"/>
      <c r="E208" s="32"/>
      <c r="F208" s="32"/>
      <c r="G208" s="32"/>
      <c r="H208" s="32"/>
      <c r="I208" s="32"/>
      <c r="J208" s="32"/>
      <c r="K208" s="32"/>
      <c r="L208" s="32"/>
      <c r="M208" s="32"/>
      <c r="N208" s="8"/>
      <c r="O208" s="8"/>
      <c r="P208" s="8"/>
    </row>
    <row r="209" spans="1:16" ht="13.5" customHeight="1">
      <c r="A209" s="106" t="s">
        <v>530</v>
      </c>
      <c r="B209" s="106" t="s">
        <v>715</v>
      </c>
      <c r="C209" s="68" t="s">
        <v>16</v>
      </c>
      <c r="D209" s="32"/>
      <c r="E209" s="32"/>
      <c r="F209" s="32">
        <f t="shared" ref="F209:O209" si="54">SUM(F211:F216)</f>
        <v>1937.2</v>
      </c>
      <c r="G209" s="32">
        <f t="shared" si="54"/>
        <v>1937.2</v>
      </c>
      <c r="H209" s="32">
        <f t="shared" si="54"/>
        <v>5212.7406200000005</v>
      </c>
      <c r="I209" s="32">
        <f t="shared" si="54"/>
        <v>5168.3306499999999</v>
      </c>
      <c r="J209" s="32">
        <f t="shared" si="54"/>
        <v>7844.3153000000002</v>
      </c>
      <c r="K209" s="32">
        <f t="shared" si="54"/>
        <v>7701.1471000000001</v>
      </c>
      <c r="L209" s="32">
        <f t="shared" si="54"/>
        <v>10389.5083</v>
      </c>
      <c r="M209" s="32">
        <f t="shared" si="54"/>
        <v>10389.5083</v>
      </c>
      <c r="N209" s="32">
        <f t="shared" si="54"/>
        <v>10550.1</v>
      </c>
      <c r="O209" s="32">
        <f t="shared" si="54"/>
        <v>10550.1</v>
      </c>
      <c r="P209" s="8"/>
    </row>
    <row r="210" spans="1:16">
      <c r="A210" s="106"/>
      <c r="B210" s="106"/>
      <c r="C210" s="68" t="s">
        <v>17</v>
      </c>
      <c r="D210" s="32"/>
      <c r="E210" s="32"/>
      <c r="F210" s="32"/>
      <c r="G210" s="32"/>
      <c r="H210" s="32"/>
      <c r="I210" s="32"/>
      <c r="J210" s="32"/>
      <c r="K210" s="32"/>
      <c r="L210" s="32"/>
      <c r="M210" s="32"/>
      <c r="N210" s="32"/>
      <c r="O210" s="32"/>
      <c r="P210" s="8"/>
    </row>
    <row r="211" spans="1:16">
      <c r="A211" s="106"/>
      <c r="B211" s="106"/>
      <c r="C211" s="68" t="s">
        <v>27</v>
      </c>
      <c r="D211" s="32"/>
      <c r="E211" s="32"/>
      <c r="F211" s="32"/>
      <c r="G211" s="32"/>
      <c r="H211" s="32"/>
      <c r="I211" s="32"/>
      <c r="J211" s="32"/>
      <c r="K211" s="32"/>
      <c r="L211" s="32"/>
      <c r="M211" s="32"/>
      <c r="N211" s="32"/>
      <c r="O211" s="32"/>
      <c r="P211" s="8"/>
    </row>
    <row r="212" spans="1:16">
      <c r="A212" s="106"/>
      <c r="B212" s="106"/>
      <c r="C212" s="68" t="s">
        <v>19</v>
      </c>
      <c r="D212" s="32"/>
      <c r="E212" s="32"/>
      <c r="F212" s="32">
        <f>'приложение 9'!J261+'приложение 9'!J262+'приложение 9'!J263</f>
        <v>1937.2</v>
      </c>
      <c r="G212" s="32">
        <f>'приложение 9'!K261+'приложение 9'!K262+'приложение 9'!K263</f>
        <v>1937.2</v>
      </c>
      <c r="H212" s="32">
        <f>'приложение 9'!L261+'приложение 9'!L262+'приложение 9'!L263</f>
        <v>5212.7406200000005</v>
      </c>
      <c r="I212" s="32">
        <f>'приложение 9'!M261+'приложение 9'!M262+'приложение 9'!M263</f>
        <v>5168.3306499999999</v>
      </c>
      <c r="J212" s="32">
        <f>'приложение 9'!N261+'приложение 9'!N262+'приложение 9'!N263</f>
        <v>7844.3153000000002</v>
      </c>
      <c r="K212" s="32">
        <f>'приложение 9'!O261+'приложение 9'!O262+'приложение 9'!O263</f>
        <v>7701.1471000000001</v>
      </c>
      <c r="L212" s="32">
        <f>'приложение 9'!P261+'приложение 9'!P262+'приложение 9'!P263</f>
        <v>10389.5083</v>
      </c>
      <c r="M212" s="32">
        <f>'приложение 9'!Q261+'приложение 9'!Q262+'приложение 9'!Q263</f>
        <v>10389.5083</v>
      </c>
      <c r="N212" s="32">
        <f>'приложение 9'!R260</f>
        <v>10550.1</v>
      </c>
      <c r="O212" s="32">
        <f>'приложение 9'!S260</f>
        <v>10550.1</v>
      </c>
      <c r="P212" s="8"/>
    </row>
    <row r="213" spans="1:16">
      <c r="A213" s="106"/>
      <c r="B213" s="106"/>
      <c r="C213" s="68" t="s">
        <v>20</v>
      </c>
      <c r="D213" s="32"/>
      <c r="E213" s="32"/>
      <c r="F213" s="32"/>
      <c r="G213" s="32"/>
      <c r="H213" s="32"/>
      <c r="I213" s="32"/>
      <c r="J213" s="32"/>
      <c r="K213" s="32"/>
      <c r="L213" s="32"/>
      <c r="M213" s="32"/>
      <c r="N213" s="32"/>
      <c r="O213" s="32"/>
      <c r="P213" s="8"/>
    </row>
    <row r="214" spans="1:16">
      <c r="A214" s="106"/>
      <c r="B214" s="106"/>
      <c r="C214" s="68" t="s">
        <v>21</v>
      </c>
      <c r="D214" s="7"/>
      <c r="E214" s="7"/>
      <c r="F214" s="7"/>
      <c r="G214" s="7"/>
      <c r="H214" s="7"/>
      <c r="I214" s="7"/>
      <c r="J214" s="7"/>
      <c r="K214" s="7"/>
      <c r="L214" s="32"/>
      <c r="M214" s="32"/>
      <c r="N214" s="32"/>
      <c r="O214" s="32"/>
      <c r="P214" s="8"/>
    </row>
    <row r="215" spans="1:16">
      <c r="A215" s="106"/>
      <c r="B215" s="106"/>
      <c r="C215" s="68" t="s">
        <v>22</v>
      </c>
      <c r="D215" s="7"/>
      <c r="E215" s="7"/>
      <c r="F215" s="7"/>
      <c r="G215" s="7"/>
      <c r="H215" s="7"/>
      <c r="I215" s="7"/>
      <c r="J215" s="7"/>
      <c r="K215" s="7"/>
      <c r="L215" s="32"/>
      <c r="M215" s="32"/>
      <c r="N215" s="32"/>
      <c r="O215" s="32"/>
      <c r="P215" s="8"/>
    </row>
    <row r="216" spans="1:16">
      <c r="A216" s="106"/>
      <c r="B216" s="106"/>
      <c r="C216" s="68" t="s">
        <v>23</v>
      </c>
      <c r="D216" s="7"/>
      <c r="E216" s="7"/>
      <c r="F216" s="7"/>
      <c r="G216" s="7"/>
      <c r="H216" s="7"/>
      <c r="I216" s="7"/>
      <c r="J216" s="7"/>
      <c r="K216" s="7"/>
      <c r="L216" s="32"/>
      <c r="M216" s="32"/>
      <c r="N216" s="32"/>
      <c r="O216" s="32"/>
      <c r="P216" s="8"/>
    </row>
    <row r="217" spans="1:16" ht="13.5" customHeight="1">
      <c r="A217" s="106" t="s">
        <v>531</v>
      </c>
      <c r="B217" s="106" t="s">
        <v>716</v>
      </c>
      <c r="C217" s="68" t="s">
        <v>16</v>
      </c>
      <c r="D217" s="32"/>
      <c r="E217" s="32"/>
      <c r="F217" s="32">
        <f t="shared" ref="F217:O217" si="55">SUM(F219:F224)</f>
        <v>93.559340000000006</v>
      </c>
      <c r="G217" s="32">
        <f t="shared" si="55"/>
        <v>93.559340000000006</v>
      </c>
      <c r="H217" s="32">
        <f t="shared" si="55"/>
        <v>426.21792000000005</v>
      </c>
      <c r="I217" s="32">
        <f t="shared" si="55"/>
        <v>408.47392000000002</v>
      </c>
      <c r="J217" s="32">
        <f t="shared" si="55"/>
        <v>2099.42416</v>
      </c>
      <c r="K217" s="32">
        <f t="shared" si="55"/>
        <v>1990.0661</v>
      </c>
      <c r="L217" s="32">
        <f t="shared" si="55"/>
        <v>3452.6267900000003</v>
      </c>
      <c r="M217" s="32">
        <f t="shared" si="55"/>
        <v>3317.31585</v>
      </c>
      <c r="N217" s="32">
        <f t="shared" si="55"/>
        <v>1224.8</v>
      </c>
      <c r="O217" s="32">
        <f t="shared" si="55"/>
        <v>815.9</v>
      </c>
      <c r="P217" s="8"/>
    </row>
    <row r="218" spans="1:16">
      <c r="A218" s="106"/>
      <c r="B218" s="106"/>
      <c r="C218" s="68" t="s">
        <v>17</v>
      </c>
      <c r="D218" s="32"/>
      <c r="E218" s="32"/>
      <c r="F218" s="32"/>
      <c r="G218" s="32"/>
      <c r="H218" s="32"/>
      <c r="I218" s="32"/>
      <c r="J218" s="32"/>
      <c r="K218" s="32"/>
      <c r="L218" s="32"/>
      <c r="M218" s="32"/>
      <c r="N218" s="32"/>
      <c r="O218" s="32"/>
      <c r="P218" s="8"/>
    </row>
    <row r="219" spans="1:16">
      <c r="A219" s="106"/>
      <c r="B219" s="106"/>
      <c r="C219" s="68" t="s">
        <v>27</v>
      </c>
      <c r="D219" s="32"/>
      <c r="E219" s="32"/>
      <c r="F219" s="32">
        <f>'приложение 9'!J277</f>
        <v>0</v>
      </c>
      <c r="G219" s="32">
        <f>'приложение 9'!K277</f>
        <v>0</v>
      </c>
      <c r="H219" s="32">
        <f>'приложение 9'!L277</f>
        <v>0</v>
      </c>
      <c r="I219" s="32">
        <f>'приложение 9'!M277</f>
        <v>0</v>
      </c>
      <c r="J219" s="32">
        <f>'приложение 9'!N277</f>
        <v>0</v>
      </c>
      <c r="K219" s="32">
        <f>'приложение 9'!O277</f>
        <v>0</v>
      </c>
      <c r="L219" s="32">
        <f>'приложение 9'!P277</f>
        <v>717.1</v>
      </c>
      <c r="M219" s="32">
        <f>'приложение 9'!Q277</f>
        <v>717.04750000000001</v>
      </c>
      <c r="N219" s="32">
        <f>'приложение 9'!R277</f>
        <v>0</v>
      </c>
      <c r="O219" s="32">
        <f>'приложение 9'!S277</f>
        <v>0</v>
      </c>
      <c r="P219" s="8"/>
    </row>
    <row r="220" spans="1:16">
      <c r="A220" s="106"/>
      <c r="B220" s="106"/>
      <c r="C220" s="68" t="s">
        <v>19</v>
      </c>
      <c r="D220" s="32"/>
      <c r="E220" s="32"/>
      <c r="F220" s="32">
        <f>'приложение 9'!J276+'приложение 9'!J266</f>
        <v>0</v>
      </c>
      <c r="G220" s="32">
        <f>'приложение 9'!K276+'приложение 9'!K266</f>
        <v>0</v>
      </c>
      <c r="H220" s="32">
        <f>'приложение 9'!L276+'приложение 9'!L266</f>
        <v>0</v>
      </c>
      <c r="I220" s="32">
        <f>'приложение 9'!M276+'приложение 9'!M266</f>
        <v>0</v>
      </c>
      <c r="J220" s="32">
        <f>'приложение 9'!N276+'приложение 9'!N266</f>
        <v>1378</v>
      </c>
      <c r="K220" s="32">
        <f>'приложение 9'!O276+'приложение 9'!O266</f>
        <v>1286.3859399999999</v>
      </c>
      <c r="L220" s="32">
        <f>'приложение 9'!P276+'приложение 9'!P266</f>
        <v>1592.2</v>
      </c>
      <c r="M220" s="32">
        <f>'приложение 9'!Q276+'приложение 9'!Q266</f>
        <v>1500.5634399999999</v>
      </c>
      <c r="N220" s="32">
        <f>'приложение 9'!R276+'приложение 9'!R266</f>
        <v>0</v>
      </c>
      <c r="O220" s="32">
        <f>'приложение 9'!S276+'приложение 9'!S266</f>
        <v>0</v>
      </c>
      <c r="P220" s="8"/>
    </row>
    <row r="221" spans="1:16">
      <c r="A221" s="106"/>
      <c r="B221" s="106"/>
      <c r="C221" s="68" t="s">
        <v>20</v>
      </c>
      <c r="D221" s="7"/>
      <c r="E221" s="7"/>
      <c r="F221" s="32">
        <f>'приложение 9'!J267+'приложение 9'!J268+'приложение 9'!J269+'приложение 9'!J270+'приложение 9'!J271+'приложение 9'!J272+'приложение 9'!J273+'приложение 9'!J274+'приложение 9'!J278+'приложение 9'!J279</f>
        <v>93.559340000000006</v>
      </c>
      <c r="G221" s="32">
        <f>'приложение 9'!K267+'приложение 9'!K268+'приложение 9'!K269+'приложение 9'!K270+'приложение 9'!K271+'приложение 9'!K272+'приложение 9'!K273+'приложение 9'!K274+'приложение 9'!K278+'приложение 9'!K279</f>
        <v>93.559340000000006</v>
      </c>
      <c r="H221" s="32">
        <f>'приложение 9'!L267+'приложение 9'!L268+'приложение 9'!L269+'приложение 9'!L270+'приложение 9'!L271+'приложение 9'!L272+'приложение 9'!L273+'приложение 9'!L274+'приложение 9'!L278+'приложение 9'!L279</f>
        <v>426.21792000000005</v>
      </c>
      <c r="I221" s="32">
        <f>'приложение 9'!M267+'приложение 9'!M268+'приложение 9'!M269+'приложение 9'!M270+'приложение 9'!M271+'приложение 9'!M272+'приложение 9'!M273+'приложение 9'!M274+'приложение 9'!M278+'приложение 9'!M279</f>
        <v>408.47392000000002</v>
      </c>
      <c r="J221" s="32">
        <f>'приложение 9'!N267+'приложение 9'!N268+'приложение 9'!N269+'приложение 9'!N270+'приложение 9'!N271+'приложение 9'!N272+'приложение 9'!N273+'приложение 9'!N274+'приложение 9'!N278+'приложение 9'!N279</f>
        <v>721.42416000000003</v>
      </c>
      <c r="K221" s="32">
        <f>'приложение 9'!O267+'приложение 9'!O268+'приложение 9'!O269+'приложение 9'!O270+'приложение 9'!O271+'приложение 9'!O272+'приложение 9'!O273+'приложение 9'!O274+'приложение 9'!O278+'приложение 9'!O279</f>
        <v>703.68016</v>
      </c>
      <c r="L221" s="32">
        <f>'приложение 9'!P267+'приложение 9'!P268+'приложение 9'!P269+'приложение 9'!P270+'приложение 9'!P271+'приложение 9'!P272+'приложение 9'!P273+'приложение 9'!P274+'приложение 9'!P278+'приложение 9'!P279</f>
        <v>1143.3267900000001</v>
      </c>
      <c r="M221" s="32">
        <f>'приложение 9'!Q267+'приложение 9'!Q268+'приложение 9'!Q269+'приложение 9'!Q270+'приложение 9'!Q271+'приложение 9'!Q272+'приложение 9'!Q273+'приложение 9'!Q274+'приложение 9'!Q278+'приложение 9'!Q279</f>
        <v>1099.7049099999999</v>
      </c>
      <c r="N221" s="32">
        <f>'приложение 9'!R267+'приложение 9'!R268+'приложение 9'!R269+'приложение 9'!R270+'приложение 9'!R271+'приложение 9'!R272+'приложение 9'!R273+'приложение 9'!R274+'приложение 9'!R278+'приложение 9'!R279</f>
        <v>1224.8</v>
      </c>
      <c r="O221" s="32">
        <f>'приложение 9'!S267+'приложение 9'!S268+'приложение 9'!S269+'приложение 9'!S270+'приложение 9'!S271+'приложение 9'!S272+'приложение 9'!S273+'приложение 9'!S274+'приложение 9'!S278+'приложение 9'!S279</f>
        <v>815.9</v>
      </c>
      <c r="P221" s="8"/>
    </row>
    <row r="222" spans="1:16">
      <c r="A222" s="106"/>
      <c r="B222" s="106"/>
      <c r="C222" s="68" t="s">
        <v>21</v>
      </c>
      <c r="D222" s="7"/>
      <c r="E222" s="7"/>
      <c r="F222" s="7"/>
      <c r="G222" s="7"/>
      <c r="H222" s="7"/>
      <c r="I222" s="7"/>
      <c r="J222" s="7"/>
      <c r="K222" s="7"/>
      <c r="L222" s="32"/>
      <c r="M222" s="32"/>
      <c r="N222" s="8"/>
      <c r="O222" s="8"/>
      <c r="P222" s="8"/>
    </row>
    <row r="223" spans="1:16">
      <c r="A223" s="106"/>
      <c r="B223" s="106"/>
      <c r="C223" s="68" t="s">
        <v>22</v>
      </c>
      <c r="D223" s="7"/>
      <c r="E223" s="7"/>
      <c r="F223" s="7"/>
      <c r="G223" s="7"/>
      <c r="H223" s="7"/>
      <c r="I223" s="7"/>
      <c r="J223" s="7"/>
      <c r="K223" s="7"/>
      <c r="L223" s="32"/>
      <c r="M223" s="32"/>
      <c r="N223" s="8"/>
      <c r="O223" s="8"/>
      <c r="P223" s="8"/>
    </row>
    <row r="224" spans="1:16">
      <c r="A224" s="106"/>
      <c r="B224" s="106"/>
      <c r="C224" s="68" t="s">
        <v>23</v>
      </c>
      <c r="D224" s="7"/>
      <c r="E224" s="7"/>
      <c r="F224" s="7"/>
      <c r="G224" s="7"/>
      <c r="H224" s="7"/>
      <c r="I224" s="7"/>
      <c r="J224" s="7"/>
      <c r="K224" s="7"/>
      <c r="L224" s="32"/>
      <c r="M224" s="32"/>
      <c r="N224" s="8"/>
      <c r="O224" s="8"/>
      <c r="P224" s="8"/>
    </row>
    <row r="225" spans="1:16" ht="13.5" customHeight="1">
      <c r="A225" s="107" t="s">
        <v>15</v>
      </c>
      <c r="B225" s="108" t="s">
        <v>542</v>
      </c>
      <c r="C225" s="11" t="s">
        <v>16</v>
      </c>
      <c r="D225" s="39">
        <f t="shared" ref="D225:E225" si="56">SUM(D227:D232)</f>
        <v>1500</v>
      </c>
      <c r="E225" s="39">
        <f t="shared" si="56"/>
        <v>1200</v>
      </c>
      <c r="F225" s="36">
        <f t="shared" ref="F225:K225" si="57">SUM(F227:F232)</f>
        <v>0</v>
      </c>
      <c r="G225" s="36">
        <f t="shared" si="57"/>
        <v>0</v>
      </c>
      <c r="H225" s="36">
        <f t="shared" si="57"/>
        <v>300</v>
      </c>
      <c r="I225" s="36">
        <f t="shared" si="57"/>
        <v>300</v>
      </c>
      <c r="J225" s="36">
        <f t="shared" si="57"/>
        <v>490</v>
      </c>
      <c r="K225" s="36">
        <f t="shared" si="57"/>
        <v>490</v>
      </c>
      <c r="L225" s="36">
        <f>SUM(L227:L232)</f>
        <v>1575</v>
      </c>
      <c r="M225" s="36">
        <f>SUM(M227:M232)</f>
        <v>1490</v>
      </c>
      <c r="N225" s="36">
        <f t="shared" ref="N225:O225" si="58">SUM(N227:N232)</f>
        <v>230</v>
      </c>
      <c r="O225" s="36">
        <f t="shared" si="58"/>
        <v>230</v>
      </c>
      <c r="P225" s="5"/>
    </row>
    <row r="226" spans="1:16">
      <c r="A226" s="107"/>
      <c r="B226" s="108"/>
      <c r="C226" s="11" t="s">
        <v>17</v>
      </c>
      <c r="D226" s="41"/>
      <c r="E226" s="41"/>
      <c r="F226" s="37"/>
      <c r="G226" s="37"/>
      <c r="H226" s="37"/>
      <c r="I226" s="37"/>
      <c r="J226" s="37"/>
      <c r="K226" s="37"/>
      <c r="L226" s="30"/>
      <c r="M226" s="30"/>
      <c r="N226" s="3"/>
      <c r="O226" s="3"/>
      <c r="P226" s="5"/>
    </row>
    <row r="227" spans="1:16">
      <c r="A227" s="107"/>
      <c r="B227" s="108"/>
      <c r="C227" s="11" t="s">
        <v>18</v>
      </c>
      <c r="D227" s="33">
        <f t="shared" ref="D227:E227" si="59">D235</f>
        <v>900</v>
      </c>
      <c r="E227" s="33">
        <f t="shared" si="59"/>
        <v>600</v>
      </c>
      <c r="F227" s="33">
        <f t="shared" ref="F227:K227" si="60">F235</f>
        <v>0</v>
      </c>
      <c r="G227" s="33">
        <f t="shared" si="60"/>
        <v>0</v>
      </c>
      <c r="H227" s="33">
        <f t="shared" si="60"/>
        <v>300</v>
      </c>
      <c r="I227" s="33">
        <f t="shared" si="60"/>
        <v>300</v>
      </c>
      <c r="J227" s="33">
        <f t="shared" si="60"/>
        <v>300</v>
      </c>
      <c r="K227" s="33">
        <f t="shared" si="60"/>
        <v>300</v>
      </c>
      <c r="L227" s="33">
        <f>L235</f>
        <v>800</v>
      </c>
      <c r="M227" s="33">
        <f>M235</f>
        <v>800</v>
      </c>
      <c r="N227" s="33">
        <f t="shared" ref="N227:O227" si="61">N235</f>
        <v>0</v>
      </c>
      <c r="O227" s="33">
        <f t="shared" si="61"/>
        <v>0</v>
      </c>
      <c r="P227" s="6"/>
    </row>
    <row r="228" spans="1:16">
      <c r="A228" s="107"/>
      <c r="B228" s="108"/>
      <c r="C228" s="11" t="s">
        <v>19</v>
      </c>
      <c r="D228" s="32">
        <f t="shared" ref="D228:E228" si="62">D244</f>
        <v>420</v>
      </c>
      <c r="E228" s="32">
        <f t="shared" si="62"/>
        <v>420</v>
      </c>
      <c r="F228" s="32">
        <f t="shared" ref="F228:K228" si="63">F244</f>
        <v>0</v>
      </c>
      <c r="G228" s="32">
        <f t="shared" si="63"/>
        <v>0</v>
      </c>
      <c r="H228" s="32">
        <f t="shared" si="63"/>
        <v>0</v>
      </c>
      <c r="I228" s="32">
        <f t="shared" si="63"/>
        <v>0</v>
      </c>
      <c r="J228" s="32">
        <f t="shared" si="63"/>
        <v>0</v>
      </c>
      <c r="K228" s="32">
        <f t="shared" si="63"/>
        <v>0</v>
      </c>
      <c r="L228" s="32">
        <f>L244</f>
        <v>585</v>
      </c>
      <c r="M228" s="32">
        <f>M244</f>
        <v>500</v>
      </c>
      <c r="N228" s="32">
        <f t="shared" ref="N228:O228" si="64">N244</f>
        <v>0</v>
      </c>
      <c r="O228" s="32">
        <f t="shared" si="64"/>
        <v>0</v>
      </c>
      <c r="P228" s="8"/>
    </row>
    <row r="229" spans="1:16">
      <c r="A229" s="107"/>
      <c r="B229" s="108"/>
      <c r="C229" s="11" t="s">
        <v>20</v>
      </c>
      <c r="D229" s="32">
        <f t="shared" ref="D229:E229" si="65">D253</f>
        <v>180</v>
      </c>
      <c r="E229" s="32">
        <f t="shared" si="65"/>
        <v>180</v>
      </c>
      <c r="F229" s="32">
        <f t="shared" ref="F229:K229" si="66">F253</f>
        <v>0</v>
      </c>
      <c r="G229" s="32">
        <f t="shared" si="66"/>
        <v>0</v>
      </c>
      <c r="H229" s="32">
        <f t="shared" si="66"/>
        <v>0</v>
      </c>
      <c r="I229" s="32">
        <f t="shared" si="66"/>
        <v>0</v>
      </c>
      <c r="J229" s="32">
        <f t="shared" si="66"/>
        <v>190</v>
      </c>
      <c r="K229" s="32">
        <f t="shared" si="66"/>
        <v>190</v>
      </c>
      <c r="L229" s="32">
        <f>L253</f>
        <v>190</v>
      </c>
      <c r="M229" s="32">
        <f>M253</f>
        <v>190</v>
      </c>
      <c r="N229" s="32">
        <f>N253+N261</f>
        <v>230</v>
      </c>
      <c r="O229" s="32">
        <f>O253+O261</f>
        <v>230</v>
      </c>
      <c r="P229" s="8"/>
    </row>
    <row r="230" spans="1:16">
      <c r="A230" s="107"/>
      <c r="B230" s="108"/>
      <c r="C230" s="11" t="s">
        <v>21</v>
      </c>
      <c r="D230" s="32"/>
      <c r="E230" s="32"/>
      <c r="F230" s="32"/>
      <c r="G230" s="32"/>
      <c r="H230" s="32"/>
      <c r="I230" s="32"/>
      <c r="J230" s="32"/>
      <c r="K230" s="32"/>
      <c r="L230" s="32"/>
      <c r="M230" s="32"/>
      <c r="N230" s="32"/>
      <c r="O230" s="32"/>
      <c r="P230" s="8"/>
    </row>
    <row r="231" spans="1:16">
      <c r="A231" s="107"/>
      <c r="B231" s="108"/>
      <c r="C231" s="11" t="s">
        <v>22</v>
      </c>
      <c r="D231" s="32"/>
      <c r="E231" s="32"/>
      <c r="F231" s="32"/>
      <c r="G231" s="32"/>
      <c r="H231" s="32"/>
      <c r="I231" s="32"/>
      <c r="J231" s="32"/>
      <c r="K231" s="32"/>
      <c r="L231" s="32"/>
      <c r="M231" s="32"/>
      <c r="N231" s="32"/>
      <c r="O231" s="32"/>
      <c r="P231" s="8"/>
    </row>
    <row r="232" spans="1:16">
      <c r="A232" s="107"/>
      <c r="B232" s="108"/>
      <c r="C232" s="11" t="s">
        <v>23</v>
      </c>
      <c r="D232" s="32"/>
      <c r="E232" s="32"/>
      <c r="F232" s="32"/>
      <c r="G232" s="32"/>
      <c r="H232" s="32"/>
      <c r="I232" s="32"/>
      <c r="J232" s="32"/>
      <c r="K232" s="32"/>
      <c r="L232" s="32"/>
      <c r="M232" s="32"/>
      <c r="N232" s="32"/>
      <c r="O232" s="32"/>
      <c r="P232" s="8"/>
    </row>
    <row r="233" spans="1:16" ht="15" customHeight="1">
      <c r="A233" s="109" t="s">
        <v>24</v>
      </c>
      <c r="B233" s="112" t="s">
        <v>349</v>
      </c>
      <c r="C233" s="11" t="s">
        <v>16</v>
      </c>
      <c r="D233" s="32">
        <f t="shared" ref="D233:E233" si="67">SUM(D235:D240)</f>
        <v>900</v>
      </c>
      <c r="E233" s="32">
        <f t="shared" si="67"/>
        <v>600</v>
      </c>
      <c r="F233" s="32">
        <f t="shared" ref="F233:K233" si="68">SUM(F235:F240)</f>
        <v>0</v>
      </c>
      <c r="G233" s="32">
        <f t="shared" si="68"/>
        <v>0</v>
      </c>
      <c r="H233" s="32">
        <f t="shared" si="68"/>
        <v>300</v>
      </c>
      <c r="I233" s="32">
        <f t="shared" si="68"/>
        <v>300</v>
      </c>
      <c r="J233" s="32">
        <f t="shared" si="68"/>
        <v>300</v>
      </c>
      <c r="K233" s="32">
        <f t="shared" si="68"/>
        <v>300</v>
      </c>
      <c r="L233" s="32">
        <f>SUM(L235:L240)</f>
        <v>800</v>
      </c>
      <c r="M233" s="32">
        <f>SUM(M235:M240)</f>
        <v>800</v>
      </c>
      <c r="N233" s="32">
        <f t="shared" ref="N233:O233" si="69">SUM(N235:N240)</f>
        <v>0</v>
      </c>
      <c r="O233" s="32">
        <f t="shared" si="69"/>
        <v>0</v>
      </c>
      <c r="P233" s="8"/>
    </row>
    <row r="234" spans="1:16">
      <c r="A234" s="110"/>
      <c r="B234" s="113"/>
      <c r="C234" s="11" t="s">
        <v>17</v>
      </c>
      <c r="D234" s="32"/>
      <c r="E234" s="32"/>
      <c r="F234" s="32"/>
      <c r="G234" s="32"/>
      <c r="H234" s="32"/>
      <c r="I234" s="32"/>
      <c r="J234" s="32"/>
      <c r="K234" s="32"/>
      <c r="L234" s="32"/>
      <c r="M234" s="32"/>
      <c r="N234" s="32"/>
      <c r="O234" s="32"/>
      <c r="P234" s="8"/>
    </row>
    <row r="235" spans="1:16">
      <c r="A235" s="110"/>
      <c r="B235" s="113"/>
      <c r="C235" s="11" t="s">
        <v>18</v>
      </c>
      <c r="D235" s="32">
        <f>'приложение 9'!H284</f>
        <v>900</v>
      </c>
      <c r="E235" s="32">
        <f>'приложение 9'!I284</f>
        <v>600</v>
      </c>
      <c r="F235" s="32">
        <f>'приложение 9'!J284</f>
        <v>0</v>
      </c>
      <c r="G235" s="32">
        <f>'приложение 9'!K284</f>
        <v>0</v>
      </c>
      <c r="H235" s="32">
        <f>'приложение 9'!L284</f>
        <v>300</v>
      </c>
      <c r="I235" s="32">
        <f>'приложение 9'!M284</f>
        <v>300</v>
      </c>
      <c r="J235" s="32">
        <f>'приложение 9'!N284</f>
        <v>300</v>
      </c>
      <c r="K235" s="32">
        <f>'приложение 9'!O284</f>
        <v>300</v>
      </c>
      <c r="L235" s="32">
        <f>'приложение 9'!P284</f>
        <v>800</v>
      </c>
      <c r="M235" s="32">
        <f>'приложение 9'!Q284</f>
        <v>800</v>
      </c>
      <c r="N235" s="32">
        <f>'приложение 9'!R284</f>
        <v>0</v>
      </c>
      <c r="O235" s="32">
        <f>'приложение 9'!S284</f>
        <v>0</v>
      </c>
      <c r="P235" s="8"/>
    </row>
    <row r="236" spans="1:16">
      <c r="A236" s="110"/>
      <c r="B236" s="113"/>
      <c r="C236" s="11" t="s">
        <v>19</v>
      </c>
      <c r="D236" s="32"/>
      <c r="E236" s="32"/>
      <c r="F236" s="32"/>
      <c r="G236" s="32"/>
      <c r="H236" s="32"/>
      <c r="I236" s="32"/>
      <c r="J236" s="32"/>
      <c r="K236" s="32"/>
      <c r="L236" s="32"/>
      <c r="M236" s="32"/>
      <c r="N236" s="32"/>
      <c r="O236" s="32"/>
      <c r="P236" s="8"/>
    </row>
    <row r="237" spans="1:16">
      <c r="A237" s="110"/>
      <c r="B237" s="113"/>
      <c r="C237" s="11" t="s">
        <v>20</v>
      </c>
      <c r="D237" s="32"/>
      <c r="E237" s="32"/>
      <c r="F237" s="32"/>
      <c r="G237" s="32"/>
      <c r="H237" s="32"/>
      <c r="I237" s="32"/>
      <c r="J237" s="32"/>
      <c r="K237" s="32"/>
      <c r="L237" s="32"/>
      <c r="M237" s="32"/>
      <c r="N237" s="32"/>
      <c r="O237" s="32"/>
      <c r="P237" s="8"/>
    </row>
    <row r="238" spans="1:16">
      <c r="A238" s="110"/>
      <c r="B238" s="113"/>
      <c r="C238" s="11" t="s">
        <v>21</v>
      </c>
      <c r="D238" s="32"/>
      <c r="E238" s="32"/>
      <c r="F238" s="32"/>
      <c r="G238" s="32"/>
      <c r="H238" s="32"/>
      <c r="I238" s="32"/>
      <c r="J238" s="32"/>
      <c r="K238" s="32"/>
      <c r="L238" s="32"/>
      <c r="M238" s="32"/>
      <c r="N238" s="32"/>
      <c r="O238" s="32"/>
      <c r="P238" s="8"/>
    </row>
    <row r="239" spans="1:16">
      <c r="A239" s="110"/>
      <c r="B239" s="113"/>
      <c r="C239" s="11" t="s">
        <v>22</v>
      </c>
      <c r="D239" s="32"/>
      <c r="E239" s="32"/>
      <c r="F239" s="32"/>
      <c r="G239" s="32"/>
      <c r="H239" s="32"/>
      <c r="I239" s="32"/>
      <c r="J239" s="32"/>
      <c r="K239" s="32"/>
      <c r="L239" s="32"/>
      <c r="M239" s="32"/>
      <c r="N239" s="32"/>
      <c r="O239" s="32"/>
      <c r="P239" s="8"/>
    </row>
    <row r="240" spans="1:16">
      <c r="A240" s="111"/>
      <c r="B240" s="114"/>
      <c r="C240" s="11" t="s">
        <v>23</v>
      </c>
      <c r="D240" s="32"/>
      <c r="E240" s="32"/>
      <c r="F240" s="32"/>
      <c r="G240" s="32"/>
      <c r="H240" s="32"/>
      <c r="I240" s="32"/>
      <c r="J240" s="32"/>
      <c r="K240" s="32"/>
      <c r="L240" s="32"/>
      <c r="M240" s="32"/>
      <c r="N240" s="32"/>
      <c r="O240" s="32"/>
      <c r="P240" s="8"/>
    </row>
    <row r="241" spans="1:16" ht="14.25" customHeight="1">
      <c r="A241" s="109" t="s">
        <v>31</v>
      </c>
      <c r="B241" s="112" t="s">
        <v>355</v>
      </c>
      <c r="C241" s="11" t="s">
        <v>16</v>
      </c>
      <c r="D241" s="32">
        <f t="shared" ref="D241:E241" si="70">SUM(D243:D248)</f>
        <v>420</v>
      </c>
      <c r="E241" s="32">
        <f t="shared" si="70"/>
        <v>420</v>
      </c>
      <c r="F241" s="32">
        <f t="shared" ref="F241:K241" si="71">SUM(F243:F248)</f>
        <v>0</v>
      </c>
      <c r="G241" s="32">
        <f t="shared" si="71"/>
        <v>0</v>
      </c>
      <c r="H241" s="32">
        <f t="shared" si="71"/>
        <v>0</v>
      </c>
      <c r="I241" s="32">
        <f t="shared" si="71"/>
        <v>0</v>
      </c>
      <c r="J241" s="32">
        <f t="shared" si="71"/>
        <v>0</v>
      </c>
      <c r="K241" s="32">
        <f t="shared" si="71"/>
        <v>0</v>
      </c>
      <c r="L241" s="32">
        <f>SUM(L243:L248)</f>
        <v>585</v>
      </c>
      <c r="M241" s="32">
        <f>SUM(M243:M248)</f>
        <v>500</v>
      </c>
      <c r="N241" s="32">
        <f t="shared" ref="N241:O241" si="72">SUM(N243:N248)</f>
        <v>0</v>
      </c>
      <c r="O241" s="32">
        <f t="shared" si="72"/>
        <v>0</v>
      </c>
      <c r="P241" s="8"/>
    </row>
    <row r="242" spans="1:16">
      <c r="A242" s="110"/>
      <c r="B242" s="113"/>
      <c r="C242" s="11" t="s">
        <v>17</v>
      </c>
      <c r="D242" s="32"/>
      <c r="E242" s="32"/>
      <c r="F242" s="32"/>
      <c r="G242" s="32"/>
      <c r="H242" s="32"/>
      <c r="I242" s="32"/>
      <c r="J242" s="32"/>
      <c r="K242" s="32"/>
      <c r="L242" s="32"/>
      <c r="M242" s="32"/>
      <c r="N242" s="32"/>
      <c r="O242" s="32"/>
      <c r="P242" s="8"/>
    </row>
    <row r="243" spans="1:16">
      <c r="A243" s="110"/>
      <c r="B243" s="113"/>
      <c r="C243" s="11" t="s">
        <v>18</v>
      </c>
      <c r="D243" s="32"/>
      <c r="E243" s="32"/>
      <c r="F243" s="32"/>
      <c r="G243" s="32"/>
      <c r="H243" s="32"/>
      <c r="I243" s="32"/>
      <c r="J243" s="32"/>
      <c r="K243" s="32"/>
      <c r="L243" s="32"/>
      <c r="M243" s="32"/>
      <c r="N243" s="32"/>
      <c r="O243" s="32"/>
      <c r="P243" s="8"/>
    </row>
    <row r="244" spans="1:16">
      <c r="A244" s="110"/>
      <c r="B244" s="113"/>
      <c r="C244" s="11" t="s">
        <v>19</v>
      </c>
      <c r="D244" s="32">
        <f>'приложение 9'!H286</f>
        <v>420</v>
      </c>
      <c r="E244" s="32">
        <f>'приложение 9'!I286</f>
        <v>420</v>
      </c>
      <c r="F244" s="32">
        <f>'приложение 9'!J286</f>
        <v>0</v>
      </c>
      <c r="G244" s="32">
        <f>'приложение 9'!K286</f>
        <v>0</v>
      </c>
      <c r="H244" s="32">
        <f>'приложение 9'!L286</f>
        <v>0</v>
      </c>
      <c r="I244" s="32">
        <f>'приложение 9'!M286</f>
        <v>0</v>
      </c>
      <c r="J244" s="32">
        <f>'приложение 9'!N286</f>
        <v>0</v>
      </c>
      <c r="K244" s="32">
        <f>'приложение 9'!O286</f>
        <v>0</v>
      </c>
      <c r="L244" s="32">
        <f>'приложение 9'!P286</f>
        <v>585</v>
      </c>
      <c r="M244" s="32">
        <f>'приложение 9'!Q286</f>
        <v>500</v>
      </c>
      <c r="N244" s="32">
        <f>'приложение 9'!R286</f>
        <v>0</v>
      </c>
      <c r="O244" s="32">
        <f>'приложение 9'!S286</f>
        <v>0</v>
      </c>
      <c r="P244" s="8"/>
    </row>
    <row r="245" spans="1:16">
      <c r="A245" s="110"/>
      <c r="B245" s="113"/>
      <c r="C245" s="11" t="s">
        <v>20</v>
      </c>
      <c r="D245" s="32"/>
      <c r="E245" s="32"/>
      <c r="F245" s="32"/>
      <c r="G245" s="32"/>
      <c r="H245" s="32"/>
      <c r="I245" s="32"/>
      <c r="J245" s="32"/>
      <c r="K245" s="32"/>
      <c r="L245" s="32"/>
      <c r="M245" s="32"/>
      <c r="N245" s="32"/>
      <c r="O245" s="32"/>
      <c r="P245" s="8"/>
    </row>
    <row r="246" spans="1:16">
      <c r="A246" s="110"/>
      <c r="B246" s="113"/>
      <c r="C246" s="11" t="s">
        <v>21</v>
      </c>
      <c r="D246" s="32"/>
      <c r="E246" s="32"/>
      <c r="F246" s="32"/>
      <c r="G246" s="32"/>
      <c r="H246" s="32"/>
      <c r="I246" s="32"/>
      <c r="J246" s="32"/>
      <c r="K246" s="32"/>
      <c r="L246" s="32"/>
      <c r="M246" s="32"/>
      <c r="N246" s="32"/>
      <c r="O246" s="32"/>
      <c r="P246" s="8"/>
    </row>
    <row r="247" spans="1:16">
      <c r="A247" s="110"/>
      <c r="B247" s="113"/>
      <c r="C247" s="11" t="s">
        <v>22</v>
      </c>
      <c r="D247" s="32"/>
      <c r="E247" s="32"/>
      <c r="F247" s="32"/>
      <c r="G247" s="32"/>
      <c r="H247" s="32"/>
      <c r="I247" s="32"/>
      <c r="J247" s="32"/>
      <c r="K247" s="32"/>
      <c r="L247" s="32"/>
      <c r="M247" s="32"/>
      <c r="N247" s="32"/>
      <c r="O247" s="32"/>
      <c r="P247" s="8"/>
    </row>
    <row r="248" spans="1:16">
      <c r="A248" s="111"/>
      <c r="B248" s="114"/>
      <c r="C248" s="11" t="s">
        <v>23</v>
      </c>
      <c r="D248" s="32"/>
      <c r="E248" s="32"/>
      <c r="F248" s="32"/>
      <c r="G248" s="32"/>
      <c r="H248" s="32"/>
      <c r="I248" s="32"/>
      <c r="J248" s="32"/>
      <c r="K248" s="32"/>
      <c r="L248" s="32"/>
      <c r="M248" s="32"/>
      <c r="N248" s="32"/>
      <c r="O248" s="32"/>
      <c r="P248" s="8"/>
    </row>
    <row r="249" spans="1:16" ht="14.25" customHeight="1">
      <c r="A249" s="109" t="s">
        <v>32</v>
      </c>
      <c r="B249" s="112" t="s">
        <v>358</v>
      </c>
      <c r="C249" s="29" t="s">
        <v>16</v>
      </c>
      <c r="D249" s="32">
        <f t="shared" ref="D249:E249" si="73">SUM(D251:D256)</f>
        <v>180</v>
      </c>
      <c r="E249" s="32">
        <f t="shared" si="73"/>
        <v>180</v>
      </c>
      <c r="F249" s="32">
        <f t="shared" ref="F249:K249" si="74">SUM(F251:F256)</f>
        <v>0</v>
      </c>
      <c r="G249" s="32">
        <f t="shared" si="74"/>
        <v>0</v>
      </c>
      <c r="H249" s="32">
        <f t="shared" si="74"/>
        <v>0</v>
      </c>
      <c r="I249" s="32">
        <f t="shared" si="74"/>
        <v>0</v>
      </c>
      <c r="J249" s="32">
        <f t="shared" si="74"/>
        <v>190</v>
      </c>
      <c r="K249" s="32">
        <f t="shared" si="74"/>
        <v>190</v>
      </c>
      <c r="L249" s="32">
        <f>SUM(L251:L256)</f>
        <v>190</v>
      </c>
      <c r="M249" s="32">
        <f>SUM(M251:M256)</f>
        <v>190</v>
      </c>
      <c r="N249" s="32">
        <f t="shared" ref="N249:O249" si="75">SUM(N251:N256)</f>
        <v>200</v>
      </c>
      <c r="O249" s="32">
        <f t="shared" si="75"/>
        <v>200</v>
      </c>
      <c r="P249" s="8"/>
    </row>
    <row r="250" spans="1:16">
      <c r="A250" s="110"/>
      <c r="B250" s="113"/>
      <c r="C250" s="29" t="s">
        <v>17</v>
      </c>
      <c r="D250" s="32"/>
      <c r="E250" s="32"/>
      <c r="F250" s="32"/>
      <c r="G250" s="32"/>
      <c r="H250" s="32"/>
      <c r="I250" s="32"/>
      <c r="J250" s="32"/>
      <c r="K250" s="32"/>
      <c r="L250" s="32"/>
      <c r="M250" s="32"/>
      <c r="N250" s="8"/>
      <c r="O250" s="8"/>
      <c r="P250" s="8"/>
    </row>
    <row r="251" spans="1:16">
      <c r="A251" s="110"/>
      <c r="B251" s="113"/>
      <c r="C251" s="29" t="s">
        <v>18</v>
      </c>
      <c r="D251" s="32"/>
      <c r="E251" s="32"/>
      <c r="F251" s="32"/>
      <c r="G251" s="32"/>
      <c r="H251" s="32"/>
      <c r="I251" s="32"/>
      <c r="J251" s="32"/>
      <c r="K251" s="32"/>
      <c r="L251" s="32"/>
      <c r="M251" s="32"/>
      <c r="N251" s="8"/>
      <c r="O251" s="8"/>
      <c r="P251" s="8"/>
    </row>
    <row r="252" spans="1:16">
      <c r="A252" s="110"/>
      <c r="B252" s="113"/>
      <c r="C252" s="29" t="s">
        <v>19</v>
      </c>
      <c r="D252" s="32"/>
      <c r="E252" s="32"/>
      <c r="F252" s="32"/>
      <c r="G252" s="32"/>
      <c r="H252" s="32"/>
      <c r="I252" s="32"/>
      <c r="J252" s="32"/>
      <c r="K252" s="32"/>
      <c r="L252" s="32"/>
      <c r="M252" s="32"/>
      <c r="N252" s="8"/>
      <c r="O252" s="8"/>
      <c r="P252" s="8"/>
    </row>
    <row r="253" spans="1:16">
      <c r="A253" s="110"/>
      <c r="B253" s="113"/>
      <c r="C253" s="29" t="s">
        <v>20</v>
      </c>
      <c r="D253" s="32">
        <f>'приложение 9'!H288</f>
        <v>180</v>
      </c>
      <c r="E253" s="32">
        <f>'приложение 9'!I288</f>
        <v>180</v>
      </c>
      <c r="F253" s="32">
        <f>'приложение 9'!J288</f>
        <v>0</v>
      </c>
      <c r="G253" s="32">
        <f>'приложение 9'!K288</f>
        <v>0</v>
      </c>
      <c r="H253" s="32">
        <f>'приложение 9'!L288</f>
        <v>0</v>
      </c>
      <c r="I253" s="32">
        <f>'приложение 9'!M288</f>
        <v>0</v>
      </c>
      <c r="J253" s="32">
        <f>'приложение 9'!N288</f>
        <v>190</v>
      </c>
      <c r="K253" s="32">
        <f>'приложение 9'!O288</f>
        <v>190</v>
      </c>
      <c r="L253" s="32">
        <f>'приложение 9'!P288</f>
        <v>190</v>
      </c>
      <c r="M253" s="32">
        <f>'приложение 9'!Q288</f>
        <v>190</v>
      </c>
      <c r="N253" s="32">
        <f>'приложение 9'!R288</f>
        <v>200</v>
      </c>
      <c r="O253" s="32">
        <f>'приложение 9'!S288</f>
        <v>200</v>
      </c>
      <c r="P253" s="8"/>
    </row>
    <row r="254" spans="1:16">
      <c r="A254" s="110"/>
      <c r="B254" s="113"/>
      <c r="C254" s="29" t="s">
        <v>21</v>
      </c>
      <c r="D254" s="7"/>
      <c r="E254" s="7"/>
      <c r="F254" s="7"/>
      <c r="G254" s="7"/>
      <c r="H254" s="7"/>
      <c r="I254" s="7"/>
      <c r="J254" s="7"/>
      <c r="K254" s="7"/>
      <c r="L254" s="32"/>
      <c r="M254" s="32"/>
      <c r="N254" s="8"/>
      <c r="O254" s="8"/>
      <c r="P254" s="8"/>
    </row>
    <row r="255" spans="1:16">
      <c r="A255" s="110"/>
      <c r="B255" s="113"/>
      <c r="C255" s="29" t="s">
        <v>22</v>
      </c>
      <c r="D255" s="7"/>
      <c r="E255" s="7"/>
      <c r="F255" s="7"/>
      <c r="G255" s="7"/>
      <c r="H255" s="7"/>
      <c r="I255" s="7"/>
      <c r="J255" s="7"/>
      <c r="K255" s="7"/>
      <c r="L255" s="32"/>
      <c r="M255" s="32"/>
      <c r="N255" s="8"/>
      <c r="O255" s="8"/>
      <c r="P255" s="8"/>
    </row>
    <row r="256" spans="1:16">
      <c r="A256" s="111"/>
      <c r="B256" s="114"/>
      <c r="C256" s="29" t="s">
        <v>23</v>
      </c>
      <c r="D256" s="7"/>
      <c r="E256" s="7"/>
      <c r="F256" s="7"/>
      <c r="G256" s="7"/>
      <c r="H256" s="7"/>
      <c r="I256" s="7"/>
      <c r="J256" s="7"/>
      <c r="K256" s="7"/>
      <c r="L256" s="32"/>
      <c r="M256" s="32"/>
      <c r="N256" s="8"/>
      <c r="O256" s="8"/>
      <c r="P256" s="8"/>
    </row>
    <row r="257" spans="1:16" ht="14.25" customHeight="1">
      <c r="A257" s="109" t="s">
        <v>33</v>
      </c>
      <c r="B257" s="112" t="s">
        <v>725</v>
      </c>
      <c r="C257" s="72" t="s">
        <v>16</v>
      </c>
      <c r="D257" s="32">
        <f t="shared" ref="D257:K257" si="76">SUM(D259:D264)</f>
        <v>0</v>
      </c>
      <c r="E257" s="32">
        <f t="shared" si="76"/>
        <v>0</v>
      </c>
      <c r="F257" s="32">
        <f t="shared" si="76"/>
        <v>0</v>
      </c>
      <c r="G257" s="32">
        <f t="shared" si="76"/>
        <v>0</v>
      </c>
      <c r="H257" s="32">
        <f t="shared" si="76"/>
        <v>0</v>
      </c>
      <c r="I257" s="32">
        <f t="shared" si="76"/>
        <v>0</v>
      </c>
      <c r="J257" s="32">
        <f t="shared" si="76"/>
        <v>0</v>
      </c>
      <c r="K257" s="32">
        <f t="shared" si="76"/>
        <v>0</v>
      </c>
      <c r="L257" s="32">
        <f>SUM(L259:L264)</f>
        <v>0</v>
      </c>
      <c r="M257" s="32">
        <f>SUM(M259:M264)</f>
        <v>0</v>
      </c>
      <c r="N257" s="32">
        <f t="shared" ref="N257:O257" si="77">SUM(N259:N264)</f>
        <v>30</v>
      </c>
      <c r="O257" s="32">
        <f t="shared" si="77"/>
        <v>30</v>
      </c>
      <c r="P257" s="8"/>
    </row>
    <row r="258" spans="1:16">
      <c r="A258" s="110"/>
      <c r="B258" s="113"/>
      <c r="C258" s="72" t="s">
        <v>17</v>
      </c>
      <c r="D258" s="32"/>
      <c r="E258" s="32"/>
      <c r="F258" s="32"/>
      <c r="G258" s="32"/>
      <c r="H258" s="32"/>
      <c r="I258" s="32"/>
      <c r="J258" s="32"/>
      <c r="K258" s="32"/>
      <c r="L258" s="32"/>
      <c r="M258" s="32"/>
      <c r="N258" s="8"/>
      <c r="O258" s="8"/>
      <c r="P258" s="8"/>
    </row>
    <row r="259" spans="1:16">
      <c r="A259" s="110"/>
      <c r="B259" s="113"/>
      <c r="C259" s="72" t="s">
        <v>18</v>
      </c>
      <c r="D259" s="32"/>
      <c r="E259" s="32"/>
      <c r="F259" s="32"/>
      <c r="G259" s="32"/>
      <c r="H259" s="32"/>
      <c r="I259" s="32"/>
      <c r="J259" s="32"/>
      <c r="K259" s="32"/>
      <c r="L259" s="32"/>
      <c r="M259" s="32"/>
      <c r="N259" s="8"/>
      <c r="O259" s="8"/>
      <c r="P259" s="8"/>
    </row>
    <row r="260" spans="1:16">
      <c r="A260" s="110"/>
      <c r="B260" s="113"/>
      <c r="C260" s="72" t="s">
        <v>19</v>
      </c>
      <c r="D260" s="32"/>
      <c r="E260" s="32"/>
      <c r="F260" s="32"/>
      <c r="G260" s="32"/>
      <c r="H260" s="32"/>
      <c r="I260" s="32"/>
      <c r="J260" s="32"/>
      <c r="K260" s="32"/>
      <c r="L260" s="32"/>
      <c r="M260" s="32"/>
      <c r="N260" s="8"/>
      <c r="O260" s="8"/>
      <c r="P260" s="8"/>
    </row>
    <row r="261" spans="1:16">
      <c r="A261" s="110"/>
      <c r="B261" s="113"/>
      <c r="C261" s="72" t="s">
        <v>20</v>
      </c>
      <c r="D261" s="32"/>
      <c r="E261" s="32"/>
      <c r="F261" s="32"/>
      <c r="G261" s="32"/>
      <c r="H261" s="32"/>
      <c r="I261" s="32"/>
      <c r="J261" s="32"/>
      <c r="K261" s="32"/>
      <c r="L261" s="32"/>
      <c r="M261" s="32"/>
      <c r="N261" s="32">
        <f>'приложение 9'!R290</f>
        <v>30</v>
      </c>
      <c r="O261" s="32">
        <f>'приложение 9'!S290</f>
        <v>30</v>
      </c>
      <c r="P261" s="8"/>
    </row>
    <row r="262" spans="1:16">
      <c r="A262" s="110"/>
      <c r="B262" s="113"/>
      <c r="C262" s="72" t="s">
        <v>21</v>
      </c>
      <c r="D262" s="7"/>
      <c r="E262" s="7"/>
      <c r="F262" s="7"/>
      <c r="G262" s="7"/>
      <c r="H262" s="7"/>
      <c r="I262" s="7"/>
      <c r="J262" s="7"/>
      <c r="K262" s="7"/>
      <c r="L262" s="32"/>
      <c r="M262" s="32"/>
      <c r="N262" s="8"/>
      <c r="O262" s="8"/>
      <c r="P262" s="8"/>
    </row>
    <row r="263" spans="1:16">
      <c r="A263" s="110"/>
      <c r="B263" s="113"/>
      <c r="C263" s="72" t="s">
        <v>22</v>
      </c>
      <c r="D263" s="7"/>
      <c r="E263" s="7"/>
      <c r="F263" s="7"/>
      <c r="G263" s="7"/>
      <c r="H263" s="7"/>
      <c r="I263" s="7"/>
      <c r="J263" s="7"/>
      <c r="K263" s="7"/>
      <c r="L263" s="32"/>
      <c r="M263" s="32"/>
      <c r="N263" s="8"/>
      <c r="O263" s="8"/>
      <c r="P263" s="8"/>
    </row>
    <row r="264" spans="1:16">
      <c r="A264" s="111"/>
      <c r="B264" s="114"/>
      <c r="C264" s="72" t="s">
        <v>23</v>
      </c>
      <c r="D264" s="7"/>
      <c r="E264" s="7"/>
      <c r="F264" s="7"/>
      <c r="G264" s="7"/>
      <c r="H264" s="7"/>
      <c r="I264" s="7"/>
      <c r="J264" s="7"/>
      <c r="K264" s="7"/>
      <c r="L264" s="32"/>
      <c r="M264" s="32"/>
      <c r="N264" s="8"/>
      <c r="O264" s="8"/>
      <c r="P264" s="8"/>
    </row>
    <row r="265" spans="1:16" ht="14.25" customHeight="1">
      <c r="A265" s="107" t="s">
        <v>15</v>
      </c>
      <c r="B265" s="108" t="s">
        <v>543</v>
      </c>
      <c r="C265" s="11" t="s">
        <v>16</v>
      </c>
      <c r="D265" s="39">
        <f>SUM(D267:D272)</f>
        <v>8792.2021000000004</v>
      </c>
      <c r="E265" s="39">
        <f t="shared" ref="E265" si="78">SUM(E267:E272)</f>
        <v>8390.2016200000016</v>
      </c>
      <c r="F265" s="36">
        <f t="shared" ref="F265:K265" si="79">SUM(F267:F272)</f>
        <v>1589.0714800000001</v>
      </c>
      <c r="G265" s="36">
        <f t="shared" si="79"/>
        <v>1589.0705</v>
      </c>
      <c r="H265" s="36">
        <f>SUM(H267:H272)</f>
        <v>4999.25018</v>
      </c>
      <c r="I265" s="36">
        <f t="shared" si="79"/>
        <v>4764.7552800000003</v>
      </c>
      <c r="J265" s="36">
        <f>SUM(J267:J272)</f>
        <v>6995.2794999999987</v>
      </c>
      <c r="K265" s="36">
        <f t="shared" si="79"/>
        <v>6948.1485999999986</v>
      </c>
      <c r="L265" s="36">
        <f>SUM(L267:L272)</f>
        <v>9034.9347099999995</v>
      </c>
      <c r="M265" s="36">
        <f>SUM(M267:M272)</f>
        <v>8981.0499599999985</v>
      </c>
      <c r="N265" s="36">
        <f t="shared" ref="N265:O265" si="80">SUM(N267:N272)</f>
        <v>8433.1479999999992</v>
      </c>
      <c r="O265" s="36">
        <f t="shared" si="80"/>
        <v>8433.1479999999992</v>
      </c>
      <c r="P265" s="5"/>
    </row>
    <row r="266" spans="1:16">
      <c r="A266" s="107"/>
      <c r="B266" s="108"/>
      <c r="C266" s="11" t="s">
        <v>17</v>
      </c>
      <c r="D266" s="41"/>
      <c r="E266" s="41"/>
      <c r="F266" s="37"/>
      <c r="G266" s="37"/>
      <c r="H266" s="37"/>
      <c r="I266" s="37"/>
      <c r="J266" s="37"/>
      <c r="K266" s="37"/>
      <c r="L266" s="30"/>
      <c r="M266" s="30"/>
      <c r="N266" s="3"/>
      <c r="O266" s="3"/>
      <c r="P266" s="5"/>
    </row>
    <row r="267" spans="1:16">
      <c r="A267" s="107"/>
      <c r="B267" s="108"/>
      <c r="C267" s="11" t="s">
        <v>18</v>
      </c>
      <c r="D267" s="31"/>
      <c r="E267" s="31"/>
      <c r="F267" s="31"/>
      <c r="G267" s="31"/>
      <c r="H267" s="31"/>
      <c r="I267" s="31"/>
      <c r="J267" s="31"/>
      <c r="K267" s="31"/>
      <c r="L267" s="31"/>
      <c r="M267" s="31"/>
      <c r="N267" s="6"/>
      <c r="O267" s="6"/>
      <c r="P267" s="6"/>
    </row>
    <row r="268" spans="1:16">
      <c r="A268" s="107"/>
      <c r="B268" s="108"/>
      <c r="C268" s="11" t="s">
        <v>19</v>
      </c>
      <c r="D268" s="32">
        <f t="shared" ref="D268:O268" si="81">D276+D284</f>
        <v>1061.3020999999999</v>
      </c>
      <c r="E268" s="32">
        <f t="shared" si="81"/>
        <v>1026.2481</v>
      </c>
      <c r="F268" s="32">
        <f t="shared" si="81"/>
        <v>38.326419999999999</v>
      </c>
      <c r="G268" s="32">
        <f t="shared" si="81"/>
        <v>38.326419999999999</v>
      </c>
      <c r="H268" s="32">
        <f t="shared" si="81"/>
        <v>695.91032000000007</v>
      </c>
      <c r="I268" s="32">
        <f t="shared" si="81"/>
        <v>695.91032000000007</v>
      </c>
      <c r="J268" s="32">
        <f t="shared" si="81"/>
        <v>857.33390000000009</v>
      </c>
      <c r="K268" s="32">
        <f t="shared" si="81"/>
        <v>857.33390000000009</v>
      </c>
      <c r="L268" s="32">
        <f t="shared" si="81"/>
        <v>1082.9967099999999</v>
      </c>
      <c r="M268" s="32">
        <f t="shared" si="81"/>
        <v>1082.8267099999998</v>
      </c>
      <c r="N268" s="32">
        <f t="shared" si="81"/>
        <v>597.1</v>
      </c>
      <c r="O268" s="32">
        <f t="shared" si="81"/>
        <v>597.1</v>
      </c>
      <c r="P268" s="8"/>
    </row>
    <row r="269" spans="1:16">
      <c r="A269" s="107"/>
      <c r="B269" s="108"/>
      <c r="C269" s="11" t="s">
        <v>20</v>
      </c>
      <c r="D269" s="32">
        <f t="shared" ref="D269:E269" si="82">D277+D285</f>
        <v>7592.3</v>
      </c>
      <c r="E269" s="32">
        <f t="shared" si="82"/>
        <v>7225.3535200000006</v>
      </c>
      <c r="F269" s="32">
        <f t="shared" ref="F269:O269" si="83">F277+F285</f>
        <v>1550.74506</v>
      </c>
      <c r="G269" s="32">
        <f t="shared" si="83"/>
        <v>1550.7440799999999</v>
      </c>
      <c r="H269" s="32">
        <f t="shared" si="83"/>
        <v>4303.33986</v>
      </c>
      <c r="I269" s="32">
        <f t="shared" si="83"/>
        <v>4068.8449599999999</v>
      </c>
      <c r="J269" s="32">
        <f t="shared" si="83"/>
        <v>6137.9455999999991</v>
      </c>
      <c r="K269" s="32">
        <f t="shared" si="83"/>
        <v>6090.814699999999</v>
      </c>
      <c r="L269" s="32">
        <f t="shared" si="83"/>
        <v>7951.9379999999992</v>
      </c>
      <c r="M269" s="32">
        <f t="shared" si="83"/>
        <v>7898.2232499999991</v>
      </c>
      <c r="N269" s="32">
        <f t="shared" si="83"/>
        <v>7836.0479999999998</v>
      </c>
      <c r="O269" s="32">
        <f t="shared" si="83"/>
        <v>7836.0479999999998</v>
      </c>
      <c r="P269" s="8"/>
    </row>
    <row r="270" spans="1:16">
      <c r="A270" s="107"/>
      <c r="B270" s="108"/>
      <c r="C270" s="11" t="s">
        <v>21</v>
      </c>
      <c r="D270" s="32">
        <f t="shared" ref="D270:E270" si="84">D278</f>
        <v>138.6</v>
      </c>
      <c r="E270" s="32">
        <f t="shared" si="84"/>
        <v>138.6</v>
      </c>
      <c r="F270" s="32">
        <f t="shared" ref="F270:O270" si="85">F278</f>
        <v>0</v>
      </c>
      <c r="G270" s="32">
        <f t="shared" si="85"/>
        <v>0</v>
      </c>
      <c r="H270" s="32">
        <f t="shared" si="85"/>
        <v>0</v>
      </c>
      <c r="I270" s="32">
        <f t="shared" si="85"/>
        <v>0</v>
      </c>
      <c r="J270" s="32">
        <f t="shared" si="85"/>
        <v>0</v>
      </c>
      <c r="K270" s="32">
        <f t="shared" si="85"/>
        <v>0</v>
      </c>
      <c r="L270" s="32">
        <f t="shared" si="85"/>
        <v>0</v>
      </c>
      <c r="M270" s="32">
        <f t="shared" si="85"/>
        <v>0</v>
      </c>
      <c r="N270" s="32">
        <f t="shared" si="85"/>
        <v>0</v>
      </c>
      <c r="O270" s="32">
        <f t="shared" si="85"/>
        <v>0</v>
      </c>
      <c r="P270" s="8"/>
    </row>
    <row r="271" spans="1:16">
      <c r="A271" s="107"/>
      <c r="B271" s="108"/>
      <c r="C271" s="11" t="s">
        <v>22</v>
      </c>
      <c r="D271" s="32"/>
      <c r="E271" s="32"/>
      <c r="F271" s="32"/>
      <c r="G271" s="32"/>
      <c r="H271" s="32"/>
      <c r="I271" s="32"/>
      <c r="J271" s="32"/>
      <c r="K271" s="32"/>
      <c r="L271" s="32"/>
      <c r="M271" s="32"/>
      <c r="N271" s="32"/>
      <c r="O271" s="32"/>
      <c r="P271" s="8"/>
    </row>
    <row r="272" spans="1:16">
      <c r="A272" s="107"/>
      <c r="B272" s="108"/>
      <c r="C272" s="11" t="s">
        <v>23</v>
      </c>
      <c r="D272" s="32"/>
      <c r="E272" s="32"/>
      <c r="F272" s="32"/>
      <c r="G272" s="32"/>
      <c r="H272" s="32"/>
      <c r="I272" s="32"/>
      <c r="J272" s="32"/>
      <c r="K272" s="32"/>
      <c r="L272" s="32"/>
      <c r="M272" s="32"/>
      <c r="N272" s="32"/>
      <c r="O272" s="32"/>
      <c r="P272" s="8"/>
    </row>
    <row r="273" spans="1:16" ht="13.5" customHeight="1">
      <c r="A273" s="106" t="s">
        <v>25</v>
      </c>
      <c r="B273" s="106" t="s">
        <v>545</v>
      </c>
      <c r="C273" s="11" t="s">
        <v>16</v>
      </c>
      <c r="D273" s="32">
        <f t="shared" ref="D273:E273" si="86">SUM(D275:D280)</f>
        <v>8495.4421000000002</v>
      </c>
      <c r="E273" s="32">
        <f t="shared" si="86"/>
        <v>8146.6456200000011</v>
      </c>
      <c r="F273" s="32">
        <f t="shared" ref="F273:K273" si="87">SUM(F275:F280)</f>
        <v>1583.0714800000001</v>
      </c>
      <c r="G273" s="32">
        <f t="shared" si="87"/>
        <v>1583.0705</v>
      </c>
      <c r="H273" s="32">
        <f>SUM(H275:H280)</f>
        <v>4934.25018</v>
      </c>
      <c r="I273" s="32">
        <f t="shared" si="87"/>
        <v>4736.7552800000003</v>
      </c>
      <c r="J273" s="32">
        <f>SUM(J275:J280)</f>
        <v>6889.2794999999987</v>
      </c>
      <c r="K273" s="32">
        <f t="shared" si="87"/>
        <v>6842.1485999999986</v>
      </c>
      <c r="L273" s="32">
        <f>SUM(L275:L280)</f>
        <v>8888.9347099999995</v>
      </c>
      <c r="M273" s="32">
        <f>SUM(M275:M280)</f>
        <v>8835.0499599999985</v>
      </c>
      <c r="N273" s="32">
        <f t="shared" ref="N273:O273" si="88">SUM(N275:N280)</f>
        <v>8287.1479999999992</v>
      </c>
      <c r="O273" s="32">
        <f t="shared" si="88"/>
        <v>8287.1479999999992</v>
      </c>
      <c r="P273" s="8"/>
    </row>
    <row r="274" spans="1:16">
      <c r="A274" s="106"/>
      <c r="B274" s="106"/>
      <c r="C274" s="11" t="s">
        <v>17</v>
      </c>
      <c r="D274" s="32"/>
      <c r="E274" s="32"/>
      <c r="F274" s="32"/>
      <c r="G274" s="32"/>
      <c r="H274" s="32"/>
      <c r="I274" s="32"/>
      <c r="J274" s="32"/>
      <c r="K274" s="32"/>
      <c r="L274" s="32"/>
      <c r="M274" s="32"/>
      <c r="N274" s="32"/>
      <c r="O274" s="32"/>
      <c r="P274" s="8"/>
    </row>
    <row r="275" spans="1:16">
      <c r="A275" s="106"/>
      <c r="B275" s="106"/>
      <c r="C275" s="11" t="s">
        <v>26</v>
      </c>
      <c r="D275" s="32"/>
      <c r="E275" s="32"/>
      <c r="F275" s="32"/>
      <c r="G275" s="32"/>
      <c r="H275" s="32"/>
      <c r="I275" s="32"/>
      <c r="J275" s="32"/>
      <c r="K275" s="32"/>
      <c r="L275" s="32"/>
      <c r="M275" s="32"/>
      <c r="N275" s="32"/>
      <c r="O275" s="32"/>
      <c r="P275" s="8"/>
    </row>
    <row r="276" spans="1:16">
      <c r="A276" s="106"/>
      <c r="B276" s="106"/>
      <c r="C276" s="11" t="s">
        <v>19</v>
      </c>
      <c r="D276" s="32">
        <f>'приложение 9'!H298+'приложение 9'!H299</f>
        <v>911.3021</v>
      </c>
      <c r="E276" s="32">
        <f>'приложение 9'!I298+'приложение 9'!I299</f>
        <v>911.19209999999998</v>
      </c>
      <c r="F276" s="32">
        <f>'приложение 9'!J298+'приложение 9'!J299</f>
        <v>38.326419999999999</v>
      </c>
      <c r="G276" s="32">
        <f>'приложение 9'!K298+'приложение 9'!K299</f>
        <v>38.326419999999999</v>
      </c>
      <c r="H276" s="32">
        <f>'приложение 9'!L298+'приложение 9'!L299</f>
        <v>695.91032000000007</v>
      </c>
      <c r="I276" s="32">
        <f>'приложение 9'!M298+'приложение 9'!M299</f>
        <v>695.91032000000007</v>
      </c>
      <c r="J276" s="32">
        <f>'приложение 9'!N298+'приложение 9'!N299</f>
        <v>857.33390000000009</v>
      </c>
      <c r="K276" s="32">
        <f>'приложение 9'!O298+'приложение 9'!O299</f>
        <v>857.33390000000009</v>
      </c>
      <c r="L276" s="32">
        <f>'приложение 9'!P298+'приложение 9'!P299</f>
        <v>1082.9967099999999</v>
      </c>
      <c r="M276" s="32">
        <f>'приложение 9'!Q298+'приложение 9'!Q299</f>
        <v>1082.8267099999998</v>
      </c>
      <c r="N276" s="32">
        <f>'приложение 9'!R298+'приложение 9'!R299</f>
        <v>597.1</v>
      </c>
      <c r="O276" s="32">
        <f>'приложение 9'!S298+'приложение 9'!S299</f>
        <v>597.1</v>
      </c>
      <c r="P276" s="8"/>
    </row>
    <row r="277" spans="1:16">
      <c r="A277" s="106"/>
      <c r="B277" s="106"/>
      <c r="C277" s="11" t="s">
        <v>20</v>
      </c>
      <c r="D277" s="32">
        <f>'приложение 9'!H301+'приложение 9'!H302+'приложение 9'!H303+'приложение 9'!H304+'приложение 9'!H305+'приложение 9'!H306+'приложение 9'!H307+'приложение 9'!H308+'приложение 9'!H309+'приложение 9'!H310+'приложение 9'!H311+'приложение 9'!H312+'приложение 9'!H313+'приложение 9'!H314+'приложение 9'!H316+'приложение 9'!H317+'приложение 9'!H318+'приложение 9'!H320+'приложение 9'!H321</f>
        <v>7445.54</v>
      </c>
      <c r="E277" s="32">
        <f>'приложение 9'!I301+'приложение 9'!I302+'приложение 9'!I303+'приложение 9'!I304+'приложение 9'!I305+'приложение 9'!I306+'приложение 9'!I307+'приложение 9'!I308+'приложение 9'!I309+'приложение 9'!I310+'приложение 9'!I311+'приложение 9'!I312+'приложение 9'!I313+'приложение 9'!I314+'приложение 9'!I316+'приложение 9'!I317+'приложение 9'!I318+'приложение 9'!I320+'приложение 9'!I321</f>
        <v>7096.8535200000006</v>
      </c>
      <c r="F277" s="32">
        <f>'приложение 9'!J301+'приложение 9'!J302+'приложение 9'!J303+'приложение 9'!J304+'приложение 9'!J305+'приложение 9'!J306+'приложение 9'!J307+'приложение 9'!J308+'приложение 9'!J309+'приложение 9'!J310+'приложение 9'!J311+'приложение 9'!J312+'приложение 9'!J313+'приложение 9'!J314+'приложение 9'!J316+'приложение 9'!J317+'приложение 9'!J318+'приложение 9'!J320+'приложение 9'!J321</f>
        <v>1544.74506</v>
      </c>
      <c r="G277" s="32">
        <f>'приложение 9'!K301+'приложение 9'!K302+'приложение 9'!K303+'приложение 9'!K304+'приложение 9'!K305+'приложение 9'!K306+'приложение 9'!K307+'приложение 9'!K308+'приложение 9'!K309+'приложение 9'!K310+'приложение 9'!K311+'приложение 9'!K312+'приложение 9'!K313+'приложение 9'!K314+'приложение 9'!K316+'приложение 9'!K317+'приложение 9'!K318+'приложение 9'!K320+'приложение 9'!K321</f>
        <v>1544.7440799999999</v>
      </c>
      <c r="H277" s="32">
        <f>'приложение 9'!L301+'приложение 9'!L302+'приложение 9'!L303+'приложение 9'!L304+'приложение 9'!L305+'приложение 9'!L306+'приложение 9'!L307+'приложение 9'!L308+'приложение 9'!L309+'приложение 9'!L310+'приложение 9'!L311+'приложение 9'!L312+'приложение 9'!L313+'приложение 9'!L314+'приложение 9'!L316+'приложение 9'!L317+'приложение 9'!L318+'приложение 9'!L320+'приложение 9'!L321</f>
        <v>4238.33986</v>
      </c>
      <c r="I277" s="32">
        <f>'приложение 9'!M301+'приложение 9'!M302+'приложение 9'!M303+'приложение 9'!M304+'приложение 9'!M305+'приложение 9'!M306+'приложение 9'!M307+'приложение 9'!M308+'приложение 9'!M309+'приложение 9'!M310+'приложение 9'!M311+'приложение 9'!M312+'приложение 9'!M313+'приложение 9'!M314+'приложение 9'!M316+'приложение 9'!M317+'приложение 9'!M318+'приложение 9'!M320+'приложение 9'!M321</f>
        <v>4040.8449599999999</v>
      </c>
      <c r="J277" s="32">
        <f>'приложение 9'!N301+'приложение 9'!N302+'приложение 9'!N303+'приложение 9'!N304+'приложение 9'!N305+'приложение 9'!N306+'приложение 9'!N307+'приложение 9'!N308+'приложение 9'!N309+'приложение 9'!N310+'приложение 9'!N311+'приложение 9'!N312+'приложение 9'!N313+'приложение 9'!N314+'приложение 9'!N316+'приложение 9'!N317+'приложение 9'!N318+'приложение 9'!N320+'приложение 9'!N321</f>
        <v>6031.9455999999991</v>
      </c>
      <c r="K277" s="32">
        <f>'приложение 9'!O301+'приложение 9'!O302+'приложение 9'!O303+'приложение 9'!O304+'приложение 9'!O305+'приложение 9'!O306+'приложение 9'!O307+'приложение 9'!O308+'приложение 9'!O309+'приложение 9'!O310+'приложение 9'!O311+'приложение 9'!O312+'приложение 9'!O313+'приложение 9'!O314+'приложение 9'!O316+'приложение 9'!O317+'приложение 9'!O318+'приложение 9'!O320+'приложение 9'!O321</f>
        <v>5984.814699999999</v>
      </c>
      <c r="L277" s="32">
        <f>'приложение 9'!P301+'приложение 9'!P302+'приложение 9'!P303+'приложение 9'!P304+'приложение 9'!P305+'приложение 9'!P306+'приложение 9'!P307+'приложение 9'!P308+'приложение 9'!P309+'приложение 9'!P310+'приложение 9'!P311+'приложение 9'!P312+'приложение 9'!P313+'приложение 9'!P314+'приложение 9'!P316+'приложение 9'!P317+'приложение 9'!P318+'приложение 9'!P320+'приложение 9'!P321</f>
        <v>7805.9379999999992</v>
      </c>
      <c r="M277" s="32">
        <f>'приложение 9'!Q301+'приложение 9'!Q302+'приложение 9'!Q303+'приложение 9'!Q304+'приложение 9'!Q305+'приложение 9'!Q306+'приложение 9'!Q307+'приложение 9'!Q308+'приложение 9'!Q309+'приложение 9'!Q310+'приложение 9'!Q311+'приложение 9'!Q312+'приложение 9'!Q313+'приложение 9'!Q314+'приложение 9'!Q316+'приложение 9'!Q317+'приложение 9'!Q318+'приложение 9'!Q320+'приложение 9'!Q321</f>
        <v>7752.2232499999991</v>
      </c>
      <c r="N277" s="32">
        <f>'приложение 9'!R301+'приложение 9'!R302+'приложение 9'!R303+'приложение 9'!R304+'приложение 9'!R305+'приложение 9'!R306+'приложение 9'!R307+'приложение 9'!R308+'приложение 9'!R309+'приложение 9'!R310+'приложение 9'!R311+'приложение 9'!R312+'приложение 9'!R313+'приложение 9'!R314+'приложение 9'!R316+'приложение 9'!R317+'приложение 9'!R318+'приложение 9'!R320+'приложение 9'!R321</f>
        <v>7690.0479999999998</v>
      </c>
      <c r="O277" s="32">
        <f>'приложение 9'!S301+'приложение 9'!S302+'приложение 9'!S303+'приложение 9'!S304+'приложение 9'!S305+'приложение 9'!S306+'приложение 9'!S307+'приложение 9'!S308+'приложение 9'!S309+'приложение 9'!S310+'приложение 9'!S311+'приложение 9'!S312+'приложение 9'!S313+'приложение 9'!S314+'приложение 9'!S316+'приложение 9'!S317+'приложение 9'!S318+'приложение 9'!S320+'приложение 9'!S321</f>
        <v>7690.0479999999998</v>
      </c>
      <c r="P277" s="8"/>
    </row>
    <row r="278" spans="1:16">
      <c r="A278" s="106"/>
      <c r="B278" s="106"/>
      <c r="C278" s="11" t="s">
        <v>21</v>
      </c>
      <c r="D278" s="32">
        <f>'приложение 9'!H300</f>
        <v>138.6</v>
      </c>
      <c r="E278" s="32">
        <f>'приложение 9'!I300</f>
        <v>138.6</v>
      </c>
      <c r="F278" s="32">
        <f>'приложение 9'!J300</f>
        <v>0</v>
      </c>
      <c r="G278" s="32">
        <f>'приложение 9'!K300</f>
        <v>0</v>
      </c>
      <c r="H278" s="32">
        <f>'приложение 9'!L300</f>
        <v>0</v>
      </c>
      <c r="I278" s="32">
        <f>'приложение 9'!M300</f>
        <v>0</v>
      </c>
      <c r="J278" s="32">
        <f>'приложение 9'!N300</f>
        <v>0</v>
      </c>
      <c r="K278" s="32">
        <f>'приложение 9'!O300</f>
        <v>0</v>
      </c>
      <c r="L278" s="32">
        <f>'приложение 9'!P300</f>
        <v>0</v>
      </c>
      <c r="M278" s="32">
        <f>'приложение 9'!Q300</f>
        <v>0</v>
      </c>
      <c r="N278" s="32">
        <f>'приложение 9'!R300</f>
        <v>0</v>
      </c>
      <c r="O278" s="32">
        <f>'приложение 9'!S300</f>
        <v>0</v>
      </c>
      <c r="P278" s="8"/>
    </row>
    <row r="279" spans="1:16">
      <c r="A279" s="106"/>
      <c r="B279" s="106"/>
      <c r="C279" s="11" t="s">
        <v>22</v>
      </c>
      <c r="D279" s="32"/>
      <c r="E279" s="32"/>
      <c r="F279" s="32"/>
      <c r="G279" s="32"/>
      <c r="H279" s="32"/>
      <c r="I279" s="32"/>
      <c r="J279" s="32"/>
      <c r="K279" s="32"/>
      <c r="L279" s="32"/>
      <c r="M279" s="32"/>
      <c r="N279" s="32"/>
      <c r="O279" s="32"/>
      <c r="P279" s="8"/>
    </row>
    <row r="280" spans="1:16">
      <c r="A280" s="106"/>
      <c r="B280" s="106"/>
      <c r="C280" s="11" t="s">
        <v>23</v>
      </c>
      <c r="D280" s="32"/>
      <c r="E280" s="32"/>
      <c r="F280" s="32"/>
      <c r="G280" s="32"/>
      <c r="H280" s="32"/>
      <c r="I280" s="32"/>
      <c r="J280" s="32"/>
      <c r="K280" s="32"/>
      <c r="L280" s="32"/>
      <c r="M280" s="32"/>
      <c r="N280" s="32"/>
      <c r="O280" s="32"/>
      <c r="P280" s="8"/>
    </row>
    <row r="281" spans="1:16" ht="13.5" customHeight="1">
      <c r="A281" s="106" t="s">
        <v>530</v>
      </c>
      <c r="B281" s="106" t="s">
        <v>544</v>
      </c>
      <c r="C281" s="11" t="s">
        <v>16</v>
      </c>
      <c r="D281" s="32">
        <f t="shared" ref="D281:E281" si="89">SUM(D283:D288)</f>
        <v>296.76</v>
      </c>
      <c r="E281" s="32">
        <f t="shared" si="89"/>
        <v>243.55599999999998</v>
      </c>
      <c r="F281" s="32">
        <f t="shared" ref="F281:K281" si="90">SUM(F283:F288)</f>
        <v>6</v>
      </c>
      <c r="G281" s="32">
        <f t="shared" si="90"/>
        <v>6</v>
      </c>
      <c r="H281" s="32">
        <f t="shared" si="90"/>
        <v>65</v>
      </c>
      <c r="I281" s="32">
        <f t="shared" si="90"/>
        <v>28</v>
      </c>
      <c r="J281" s="32">
        <f t="shared" si="90"/>
        <v>106</v>
      </c>
      <c r="K281" s="32">
        <f t="shared" si="90"/>
        <v>106</v>
      </c>
      <c r="L281" s="32">
        <f>SUM(L283:L288)</f>
        <v>146</v>
      </c>
      <c r="M281" s="32">
        <f>SUM(M283:M288)</f>
        <v>146</v>
      </c>
      <c r="N281" s="32">
        <f t="shared" ref="N281:O281" si="91">SUM(N283:N288)</f>
        <v>146</v>
      </c>
      <c r="O281" s="32">
        <f t="shared" si="91"/>
        <v>146</v>
      </c>
      <c r="P281" s="8"/>
    </row>
    <row r="282" spans="1:16">
      <c r="A282" s="106"/>
      <c r="B282" s="106"/>
      <c r="C282" s="11" t="s">
        <v>17</v>
      </c>
      <c r="D282" s="32"/>
      <c r="E282" s="32"/>
      <c r="F282" s="32"/>
      <c r="G282" s="32"/>
      <c r="H282" s="32"/>
      <c r="I282" s="32"/>
      <c r="J282" s="32"/>
      <c r="K282" s="32"/>
      <c r="L282" s="32"/>
      <c r="M282" s="32"/>
      <c r="N282" s="32"/>
      <c r="O282" s="32"/>
      <c r="P282" s="8"/>
    </row>
    <row r="283" spans="1:16">
      <c r="A283" s="106"/>
      <c r="B283" s="106"/>
      <c r="C283" s="11" t="s">
        <v>27</v>
      </c>
      <c r="D283" s="32"/>
      <c r="E283" s="32"/>
      <c r="F283" s="32"/>
      <c r="G283" s="32"/>
      <c r="H283" s="32"/>
      <c r="I283" s="32"/>
      <c r="J283" s="32"/>
      <c r="K283" s="32"/>
      <c r="L283" s="32"/>
      <c r="M283" s="32"/>
      <c r="N283" s="32"/>
      <c r="O283" s="32"/>
      <c r="P283" s="8"/>
    </row>
    <row r="284" spans="1:16">
      <c r="A284" s="106"/>
      <c r="B284" s="106"/>
      <c r="C284" s="11" t="s">
        <v>19</v>
      </c>
      <c r="D284" s="32">
        <f>'приложение 9'!H324+'приложение 9'!H325</f>
        <v>150</v>
      </c>
      <c r="E284" s="32">
        <f>'приложение 9'!I324+'приложение 9'!I325</f>
        <v>115.056</v>
      </c>
      <c r="F284" s="32">
        <f>'приложение 9'!J324+'приложение 9'!J325</f>
        <v>0</v>
      </c>
      <c r="G284" s="32">
        <f>'приложение 9'!K324+'приложение 9'!K325</f>
        <v>0</v>
      </c>
      <c r="H284" s="32">
        <f>'приложение 9'!L324+'приложение 9'!L325</f>
        <v>0</v>
      </c>
      <c r="I284" s="32">
        <f>'приложение 9'!M324+'приложение 9'!M325</f>
        <v>0</v>
      </c>
      <c r="J284" s="32">
        <f>'приложение 9'!N324+'приложение 9'!N325</f>
        <v>0</v>
      </c>
      <c r="K284" s="32">
        <f>'приложение 9'!O324+'приложение 9'!O325</f>
        <v>0</v>
      </c>
      <c r="L284" s="32">
        <f>'приложение 9'!P324+'приложение 9'!P325</f>
        <v>0</v>
      </c>
      <c r="M284" s="32">
        <f>'приложение 9'!Q324+'приложение 9'!Q325</f>
        <v>0</v>
      </c>
      <c r="N284" s="32">
        <f>'приложение 9'!R324+'приложение 9'!R325</f>
        <v>0</v>
      </c>
      <c r="O284" s="32">
        <f>'приложение 9'!S324+'приложение 9'!S325</f>
        <v>0</v>
      </c>
      <c r="P284" s="8"/>
    </row>
    <row r="285" spans="1:16">
      <c r="A285" s="106"/>
      <c r="B285" s="106"/>
      <c r="C285" s="11" t="s">
        <v>20</v>
      </c>
      <c r="D285" s="32">
        <f>'приложение 9'!H326+'приложение 9'!H327+'приложение 9'!H328+'приложение 9'!H329+'приложение 9'!H330+'приложение 9'!H332+'приложение 9'!H333+'приложение 9'!H334</f>
        <v>146.76</v>
      </c>
      <c r="E285" s="32">
        <f>'приложение 9'!I326+'приложение 9'!I327+'приложение 9'!I328+'приложение 9'!I329+'приложение 9'!I330+'приложение 9'!I332+'приложение 9'!I333+'приложение 9'!I334</f>
        <v>128.5</v>
      </c>
      <c r="F285" s="32">
        <f>'приложение 9'!J326+'приложение 9'!J327+'приложение 9'!J328+'приложение 9'!J329+'приложение 9'!J330+'приложение 9'!J332+'приложение 9'!J333+'приложение 9'!J334</f>
        <v>6</v>
      </c>
      <c r="G285" s="32">
        <f>'приложение 9'!K326+'приложение 9'!K327+'приложение 9'!K328+'приложение 9'!K329+'приложение 9'!K330+'приложение 9'!K332+'приложение 9'!K333+'приложение 9'!K334</f>
        <v>6</v>
      </c>
      <c r="H285" s="32">
        <f>'приложение 9'!L326+'приложение 9'!L327+'приложение 9'!L328+'приложение 9'!L329+'приложение 9'!L330+'приложение 9'!L332+'приложение 9'!L333+'приложение 9'!L334</f>
        <v>65</v>
      </c>
      <c r="I285" s="32">
        <f>'приложение 9'!M326+'приложение 9'!M327+'приложение 9'!M328+'приложение 9'!M329+'приложение 9'!M330+'приложение 9'!M332+'приложение 9'!M333+'приложение 9'!M334</f>
        <v>28</v>
      </c>
      <c r="J285" s="32">
        <f>'приложение 9'!N326+'приложение 9'!N327+'приложение 9'!N328+'приложение 9'!N329+'приложение 9'!N330+'приложение 9'!N332+'приложение 9'!N333+'приложение 9'!N334</f>
        <v>106</v>
      </c>
      <c r="K285" s="32">
        <f>'приложение 9'!O326+'приложение 9'!O327+'приложение 9'!O328+'приложение 9'!O329+'приложение 9'!O330+'приложение 9'!O332+'приложение 9'!O333+'приложение 9'!O334</f>
        <v>106</v>
      </c>
      <c r="L285" s="32">
        <f>'приложение 9'!P326+'приложение 9'!P327+'приложение 9'!P328+'приложение 9'!P329+'приложение 9'!P330+'приложение 9'!P332+'приложение 9'!P333+'приложение 9'!P334</f>
        <v>146</v>
      </c>
      <c r="M285" s="32">
        <f>'приложение 9'!Q326+'приложение 9'!Q327+'приложение 9'!Q328+'приложение 9'!Q329+'приложение 9'!Q330+'приложение 9'!Q332+'приложение 9'!Q333+'приложение 9'!Q334</f>
        <v>146</v>
      </c>
      <c r="N285" s="32">
        <f>'приложение 9'!R326+'приложение 9'!R327+'приложение 9'!R328+'приложение 9'!R329+'приложение 9'!R330+'приложение 9'!R332+'приложение 9'!R333+'приложение 9'!R334</f>
        <v>146</v>
      </c>
      <c r="O285" s="32">
        <f>'приложение 9'!S326+'приложение 9'!S327+'приложение 9'!S328+'приложение 9'!S329+'приложение 9'!S330+'приложение 9'!S332+'приложение 9'!S333+'приложение 9'!S334</f>
        <v>146</v>
      </c>
      <c r="P285" s="8"/>
    </row>
    <row r="286" spans="1:16">
      <c r="A286" s="106"/>
      <c r="B286" s="106"/>
      <c r="C286" s="11" t="s">
        <v>21</v>
      </c>
      <c r="D286" s="7"/>
      <c r="E286" s="7"/>
      <c r="F286" s="7"/>
      <c r="G286" s="7"/>
      <c r="H286" s="7"/>
      <c r="I286" s="7"/>
      <c r="J286" s="7"/>
      <c r="K286" s="7"/>
      <c r="L286" s="32"/>
      <c r="M286" s="32"/>
      <c r="N286" s="8"/>
      <c r="O286" s="8"/>
      <c r="P286" s="8"/>
    </row>
    <row r="287" spans="1:16">
      <c r="A287" s="106"/>
      <c r="B287" s="106"/>
      <c r="C287" s="11" t="s">
        <v>22</v>
      </c>
      <c r="D287" s="7"/>
      <c r="E287" s="7"/>
      <c r="F287" s="7"/>
      <c r="G287" s="7"/>
      <c r="H287" s="7"/>
      <c r="I287" s="7"/>
      <c r="J287" s="7"/>
      <c r="K287" s="7"/>
      <c r="L287" s="32"/>
      <c r="M287" s="32"/>
      <c r="N287" s="8"/>
      <c r="O287" s="8"/>
      <c r="P287" s="8"/>
    </row>
    <row r="288" spans="1:16">
      <c r="A288" s="106"/>
      <c r="B288" s="106"/>
      <c r="C288" s="11" t="s">
        <v>23</v>
      </c>
      <c r="D288" s="7"/>
      <c r="E288" s="7"/>
      <c r="F288" s="7"/>
      <c r="G288" s="7"/>
      <c r="H288" s="7"/>
      <c r="I288" s="7"/>
      <c r="J288" s="7"/>
      <c r="K288" s="7"/>
      <c r="L288" s="32"/>
      <c r="M288" s="32"/>
      <c r="N288" s="8"/>
      <c r="O288" s="8"/>
      <c r="P288" s="8"/>
    </row>
    <row r="289" spans="1:16" ht="13.5" customHeight="1">
      <c r="A289" s="107" t="s">
        <v>15</v>
      </c>
      <c r="B289" s="108" t="s">
        <v>546</v>
      </c>
      <c r="C289" s="11" t="s">
        <v>16</v>
      </c>
      <c r="D289" s="39">
        <f t="shared" ref="D289:E289" si="92">SUM(D291:D296)</f>
        <v>19703.044000000002</v>
      </c>
      <c r="E289" s="39">
        <f t="shared" si="92"/>
        <v>19580.824850000005</v>
      </c>
      <c r="F289" s="36">
        <f t="shared" ref="F289:K289" si="93">SUM(F291:F296)</f>
        <v>5332.1360000000004</v>
      </c>
      <c r="G289" s="36">
        <f t="shared" si="93"/>
        <v>5332.1360000000004</v>
      </c>
      <c r="H289" s="36">
        <f t="shared" si="93"/>
        <v>10019.849380000001</v>
      </c>
      <c r="I289" s="36">
        <f t="shared" si="93"/>
        <v>10019.849380000001</v>
      </c>
      <c r="J289" s="36">
        <f t="shared" si="93"/>
        <v>14628.60015</v>
      </c>
      <c r="K289" s="36">
        <f t="shared" si="93"/>
        <v>14628.60015</v>
      </c>
      <c r="L289" s="36">
        <f>SUM(L291:L296)</f>
        <v>20282.385490000001</v>
      </c>
      <c r="M289" s="36">
        <f>SUM(M291:M296)</f>
        <v>20199.292620000004</v>
      </c>
      <c r="N289" s="36">
        <f t="shared" ref="N289:O289" si="94">SUM(N291:N296)</f>
        <v>20999.902000000002</v>
      </c>
      <c r="O289" s="36">
        <f t="shared" si="94"/>
        <v>20999.902000000002</v>
      </c>
      <c r="P289" s="5"/>
    </row>
    <row r="290" spans="1:16">
      <c r="A290" s="107"/>
      <c r="B290" s="108"/>
      <c r="C290" s="11" t="s">
        <v>17</v>
      </c>
      <c r="D290" s="41"/>
      <c r="E290" s="41"/>
      <c r="F290" s="37"/>
      <c r="G290" s="37"/>
      <c r="H290" s="37"/>
      <c r="I290" s="37"/>
      <c r="J290" s="37"/>
      <c r="K290" s="37"/>
      <c r="L290" s="30"/>
      <c r="M290" s="30"/>
      <c r="N290" s="3"/>
      <c r="O290" s="3"/>
      <c r="P290" s="5"/>
    </row>
    <row r="291" spans="1:16">
      <c r="A291" s="107"/>
      <c r="B291" s="108"/>
      <c r="C291" s="11" t="s">
        <v>18</v>
      </c>
      <c r="D291" s="31"/>
      <c r="E291" s="31"/>
      <c r="F291" s="31"/>
      <c r="G291" s="31"/>
      <c r="H291" s="31"/>
      <c r="I291" s="31"/>
      <c r="J291" s="31"/>
      <c r="K291" s="31"/>
      <c r="L291" s="31"/>
      <c r="M291" s="31"/>
      <c r="N291" s="6"/>
      <c r="O291" s="6"/>
      <c r="P291" s="6"/>
    </row>
    <row r="292" spans="1:16">
      <c r="A292" s="107"/>
      <c r="B292" s="108"/>
      <c r="C292" s="11" t="s">
        <v>19</v>
      </c>
      <c r="D292" s="32">
        <f t="shared" ref="D292:K292" si="95">D300+D308+D316+D324+D332+D340+D348+D356</f>
        <v>207.40100000000001</v>
      </c>
      <c r="E292" s="32">
        <f t="shared" si="95"/>
        <v>207.40100000000001</v>
      </c>
      <c r="F292" s="32">
        <f t="shared" si="95"/>
        <v>5.8</v>
      </c>
      <c r="G292" s="32">
        <f t="shared" si="95"/>
        <v>5.8</v>
      </c>
      <c r="H292" s="32">
        <f t="shared" si="95"/>
        <v>33.307569999999998</v>
      </c>
      <c r="I292" s="32">
        <f t="shared" si="95"/>
        <v>33.307569999999998</v>
      </c>
      <c r="J292" s="32">
        <f t="shared" si="95"/>
        <v>208.53967</v>
      </c>
      <c r="K292" s="32">
        <f t="shared" si="95"/>
        <v>208.53967</v>
      </c>
      <c r="L292" s="32">
        <f>L300+L308+L316+L324+L332+L340+L348+L356</f>
        <v>388.87148999999999</v>
      </c>
      <c r="M292" s="32">
        <f>M300+M308+M316+M324+M332+M340+M348+M356</f>
        <v>388.87148999999999</v>
      </c>
      <c r="N292" s="32">
        <f t="shared" ref="N292:O292" si="96">N300+N308+N316+N324+N332+N340+N348+N356</f>
        <v>0</v>
      </c>
      <c r="O292" s="32">
        <f t="shared" si="96"/>
        <v>0</v>
      </c>
      <c r="P292" s="8"/>
    </row>
    <row r="293" spans="1:16">
      <c r="A293" s="107"/>
      <c r="B293" s="108"/>
      <c r="C293" s="11" t="s">
        <v>20</v>
      </c>
      <c r="D293" s="32">
        <f t="shared" ref="D293:K293" si="97">D301+D309+D317+D325+D333+D341+D349+D357</f>
        <v>19495.643</v>
      </c>
      <c r="E293" s="32">
        <f t="shared" si="97"/>
        <v>19373.423850000003</v>
      </c>
      <c r="F293" s="32">
        <f t="shared" si="97"/>
        <v>5326.3360000000002</v>
      </c>
      <c r="G293" s="32">
        <f t="shared" si="97"/>
        <v>5326.3360000000002</v>
      </c>
      <c r="H293" s="32">
        <f t="shared" si="97"/>
        <v>9986.5418100000006</v>
      </c>
      <c r="I293" s="32">
        <f t="shared" si="97"/>
        <v>9986.5418100000006</v>
      </c>
      <c r="J293" s="32">
        <f t="shared" si="97"/>
        <v>14420.06048</v>
      </c>
      <c r="K293" s="32">
        <f t="shared" si="97"/>
        <v>14420.06048</v>
      </c>
      <c r="L293" s="32">
        <f>L301+L309+L317+L325+L333+L341+L349+L357</f>
        <v>19893.513999999999</v>
      </c>
      <c r="M293" s="32">
        <f>M301+M309+M317+M325+M333+M341+M349+M357</f>
        <v>19810.421130000002</v>
      </c>
      <c r="N293" s="32">
        <f t="shared" ref="N293:O293" si="98">N301+N309+N317+N325+N333+N341+N349+N357</f>
        <v>20999.902000000002</v>
      </c>
      <c r="O293" s="32">
        <f t="shared" si="98"/>
        <v>20999.902000000002</v>
      </c>
      <c r="P293" s="8"/>
    </row>
    <row r="294" spans="1:16">
      <c r="A294" s="107"/>
      <c r="B294" s="108"/>
      <c r="C294" s="11" t="s">
        <v>21</v>
      </c>
      <c r="D294" s="32"/>
      <c r="E294" s="32"/>
      <c r="F294" s="32"/>
      <c r="G294" s="32"/>
      <c r="H294" s="32"/>
      <c r="I294" s="32"/>
      <c r="J294" s="32"/>
      <c r="K294" s="32"/>
      <c r="L294" s="32"/>
      <c r="M294" s="32"/>
      <c r="N294" s="8"/>
      <c r="O294" s="8"/>
      <c r="P294" s="8"/>
    </row>
    <row r="295" spans="1:16">
      <c r="A295" s="107"/>
      <c r="B295" s="108"/>
      <c r="C295" s="11" t="s">
        <v>22</v>
      </c>
      <c r="D295" s="32"/>
      <c r="E295" s="32"/>
      <c r="F295" s="32"/>
      <c r="G295" s="32"/>
      <c r="H295" s="32"/>
      <c r="I295" s="32"/>
      <c r="J295" s="32"/>
      <c r="K295" s="32"/>
      <c r="L295" s="32"/>
      <c r="M295" s="32"/>
      <c r="N295" s="8"/>
      <c r="O295" s="8"/>
      <c r="P295" s="8"/>
    </row>
    <row r="296" spans="1:16">
      <c r="A296" s="107"/>
      <c r="B296" s="108"/>
      <c r="C296" s="11" t="s">
        <v>23</v>
      </c>
      <c r="D296" s="32"/>
      <c r="E296" s="32"/>
      <c r="F296" s="32"/>
      <c r="G296" s="32"/>
      <c r="H296" s="32"/>
      <c r="I296" s="32"/>
      <c r="J296" s="32"/>
      <c r="K296" s="32"/>
      <c r="L296" s="32"/>
      <c r="M296" s="32"/>
      <c r="N296" s="8"/>
      <c r="O296" s="8"/>
      <c r="P296" s="8"/>
    </row>
    <row r="297" spans="1:16" ht="12" customHeight="1">
      <c r="A297" s="109" t="s">
        <v>24</v>
      </c>
      <c r="B297" s="112" t="s">
        <v>30</v>
      </c>
      <c r="C297" s="11" t="s">
        <v>16</v>
      </c>
      <c r="D297" s="32">
        <f t="shared" ref="D297:E297" si="99">SUM(D299:D304)</f>
        <v>64.3</v>
      </c>
      <c r="E297" s="32">
        <f t="shared" si="99"/>
        <v>64.3</v>
      </c>
      <c r="F297" s="32">
        <f t="shared" ref="F297:K297" si="100">SUM(F299:F304)</f>
        <v>5.8</v>
      </c>
      <c r="G297" s="32">
        <f t="shared" si="100"/>
        <v>5.8</v>
      </c>
      <c r="H297" s="32">
        <f t="shared" si="100"/>
        <v>22.846779999999999</v>
      </c>
      <c r="I297" s="32">
        <f t="shared" si="100"/>
        <v>22.846779999999999</v>
      </c>
      <c r="J297" s="32">
        <f t="shared" si="100"/>
        <v>173.83899</v>
      </c>
      <c r="K297" s="32">
        <f t="shared" si="100"/>
        <v>173.83899</v>
      </c>
      <c r="L297" s="32">
        <f>SUM(L299:L304)</f>
        <v>319.44778000000002</v>
      </c>
      <c r="M297" s="32">
        <f>SUM(M299:M304)</f>
        <v>319.44778000000002</v>
      </c>
      <c r="N297" s="32">
        <f t="shared" ref="N297:O297" si="101">SUM(N299:N304)</f>
        <v>0</v>
      </c>
      <c r="O297" s="32">
        <f t="shared" si="101"/>
        <v>0</v>
      </c>
      <c r="P297" s="8"/>
    </row>
    <row r="298" spans="1:16">
      <c r="A298" s="110"/>
      <c r="B298" s="113"/>
      <c r="C298" s="11" t="s">
        <v>17</v>
      </c>
      <c r="D298" s="32"/>
      <c r="E298" s="32"/>
      <c r="F298" s="32"/>
      <c r="G298" s="32"/>
      <c r="H298" s="32"/>
      <c r="I298" s="32"/>
      <c r="J298" s="32"/>
      <c r="K298" s="32"/>
      <c r="L298" s="32"/>
      <c r="M298" s="32"/>
      <c r="N298" s="32"/>
      <c r="O298" s="32"/>
      <c r="P298" s="8"/>
    </row>
    <row r="299" spans="1:16">
      <c r="A299" s="110"/>
      <c r="B299" s="113"/>
      <c r="C299" s="11" t="s">
        <v>18</v>
      </c>
      <c r="D299" s="32"/>
      <c r="E299" s="32"/>
      <c r="F299" s="32"/>
      <c r="G299" s="32"/>
      <c r="H299" s="32"/>
      <c r="I299" s="32"/>
      <c r="J299" s="32"/>
      <c r="K299" s="32"/>
      <c r="L299" s="32"/>
      <c r="M299" s="32"/>
      <c r="N299" s="32"/>
      <c r="O299" s="32"/>
      <c r="P299" s="8"/>
    </row>
    <row r="300" spans="1:16">
      <c r="A300" s="110"/>
      <c r="B300" s="113"/>
      <c r="C300" s="11" t="s">
        <v>19</v>
      </c>
      <c r="D300" s="32">
        <f>'приложение 9'!H338</f>
        <v>64.3</v>
      </c>
      <c r="E300" s="32">
        <f>'приложение 9'!I338</f>
        <v>64.3</v>
      </c>
      <c r="F300" s="32">
        <f>'приложение 9'!J338</f>
        <v>5.8</v>
      </c>
      <c r="G300" s="32">
        <f>'приложение 9'!K338</f>
        <v>5.8</v>
      </c>
      <c r="H300" s="32">
        <f>'приложение 9'!L338</f>
        <v>22.846779999999999</v>
      </c>
      <c r="I300" s="32">
        <f>'приложение 9'!M338</f>
        <v>22.846779999999999</v>
      </c>
      <c r="J300" s="32">
        <f>'приложение 9'!N338</f>
        <v>173.83899</v>
      </c>
      <c r="K300" s="32">
        <f>'приложение 9'!O338</f>
        <v>173.83899</v>
      </c>
      <c r="L300" s="32">
        <f>'приложение 9'!P338</f>
        <v>319.44778000000002</v>
      </c>
      <c r="M300" s="32">
        <f>'приложение 9'!Q338</f>
        <v>319.44778000000002</v>
      </c>
      <c r="N300" s="32">
        <f>'приложение 9'!R338</f>
        <v>0</v>
      </c>
      <c r="O300" s="32">
        <f>'приложение 9'!S338</f>
        <v>0</v>
      </c>
      <c r="P300" s="8"/>
    </row>
    <row r="301" spans="1:16">
      <c r="A301" s="110"/>
      <c r="B301" s="113"/>
      <c r="C301" s="11" t="s">
        <v>20</v>
      </c>
      <c r="D301" s="32"/>
      <c r="E301" s="32"/>
      <c r="F301" s="32"/>
      <c r="G301" s="32"/>
      <c r="H301" s="32"/>
      <c r="I301" s="32"/>
      <c r="J301" s="32"/>
      <c r="K301" s="32"/>
      <c r="L301" s="32"/>
      <c r="M301" s="32"/>
      <c r="N301" s="32"/>
      <c r="O301" s="32"/>
      <c r="P301" s="8"/>
    </row>
    <row r="302" spans="1:16">
      <c r="A302" s="110"/>
      <c r="B302" s="113"/>
      <c r="C302" s="11" t="s">
        <v>21</v>
      </c>
      <c r="D302" s="32"/>
      <c r="E302" s="32"/>
      <c r="F302" s="32"/>
      <c r="G302" s="32"/>
      <c r="H302" s="32"/>
      <c r="I302" s="32"/>
      <c r="J302" s="32"/>
      <c r="K302" s="32"/>
      <c r="L302" s="32"/>
      <c r="M302" s="32"/>
      <c r="N302" s="32"/>
      <c r="O302" s="32"/>
      <c r="P302" s="8"/>
    </row>
    <row r="303" spans="1:16">
      <c r="A303" s="110"/>
      <c r="B303" s="113"/>
      <c r="C303" s="11" t="s">
        <v>22</v>
      </c>
      <c r="D303" s="32"/>
      <c r="E303" s="32"/>
      <c r="F303" s="32"/>
      <c r="G303" s="32"/>
      <c r="H303" s="32"/>
      <c r="I303" s="32"/>
      <c r="J303" s="32"/>
      <c r="K303" s="32"/>
      <c r="L303" s="32"/>
      <c r="M303" s="32"/>
      <c r="N303" s="32"/>
      <c r="O303" s="32"/>
      <c r="P303" s="8"/>
    </row>
    <row r="304" spans="1:16">
      <c r="A304" s="111"/>
      <c r="B304" s="114"/>
      <c r="C304" s="11" t="s">
        <v>23</v>
      </c>
      <c r="D304" s="32"/>
      <c r="E304" s="32"/>
      <c r="F304" s="32"/>
      <c r="G304" s="32"/>
      <c r="H304" s="32"/>
      <c r="I304" s="32"/>
      <c r="J304" s="32"/>
      <c r="K304" s="32"/>
      <c r="L304" s="32"/>
      <c r="M304" s="32"/>
      <c r="N304" s="32"/>
      <c r="O304" s="32"/>
      <c r="P304" s="8"/>
    </row>
    <row r="305" spans="1:16" ht="14.25" customHeight="1">
      <c r="A305" s="109" t="s">
        <v>31</v>
      </c>
      <c r="B305" s="112" t="s">
        <v>68</v>
      </c>
      <c r="C305" s="11" t="s">
        <v>16</v>
      </c>
      <c r="D305" s="32">
        <f t="shared" ref="D305:E305" si="102">SUM(D307:D312)</f>
        <v>44.100999999999999</v>
      </c>
      <c r="E305" s="32">
        <f t="shared" si="102"/>
        <v>44.100999999999999</v>
      </c>
      <c r="F305" s="32">
        <f t="shared" ref="F305:K305" si="103">SUM(F307:F312)</f>
        <v>0</v>
      </c>
      <c r="G305" s="32">
        <f t="shared" si="103"/>
        <v>0</v>
      </c>
      <c r="H305" s="32">
        <f t="shared" si="103"/>
        <v>10.460789999999999</v>
      </c>
      <c r="I305" s="32">
        <f t="shared" si="103"/>
        <v>10.460789999999999</v>
      </c>
      <c r="J305" s="32">
        <f t="shared" si="103"/>
        <v>34.700679999999998</v>
      </c>
      <c r="K305" s="32">
        <f t="shared" si="103"/>
        <v>34.700679999999998</v>
      </c>
      <c r="L305" s="32">
        <f>SUM(L307:L312)</f>
        <v>69.42371</v>
      </c>
      <c r="M305" s="32">
        <f>SUM(M307:M312)</f>
        <v>69.42371</v>
      </c>
      <c r="N305" s="32">
        <f t="shared" ref="N305:O305" si="104">SUM(N307:N312)</f>
        <v>0</v>
      </c>
      <c r="O305" s="32">
        <f t="shared" si="104"/>
        <v>0</v>
      </c>
      <c r="P305" s="8"/>
    </row>
    <row r="306" spans="1:16">
      <c r="A306" s="110"/>
      <c r="B306" s="113"/>
      <c r="C306" s="11" t="s">
        <v>17</v>
      </c>
      <c r="D306" s="32"/>
      <c r="E306" s="32"/>
      <c r="F306" s="32"/>
      <c r="G306" s="32"/>
      <c r="H306" s="32"/>
      <c r="I306" s="32"/>
      <c r="J306" s="32"/>
      <c r="K306" s="32"/>
      <c r="L306" s="32"/>
      <c r="M306" s="32"/>
      <c r="N306" s="32"/>
      <c r="O306" s="32"/>
      <c r="P306" s="8"/>
    </row>
    <row r="307" spans="1:16">
      <c r="A307" s="110"/>
      <c r="B307" s="113"/>
      <c r="C307" s="11" t="s">
        <v>18</v>
      </c>
      <c r="D307" s="32"/>
      <c r="E307" s="32"/>
      <c r="F307" s="32"/>
      <c r="G307" s="32"/>
      <c r="H307" s="32"/>
      <c r="I307" s="32"/>
      <c r="J307" s="32"/>
      <c r="K307" s="32"/>
      <c r="L307" s="32"/>
      <c r="M307" s="32"/>
      <c r="N307" s="32"/>
      <c r="O307" s="32"/>
      <c r="P307" s="8"/>
    </row>
    <row r="308" spans="1:16">
      <c r="A308" s="110"/>
      <c r="B308" s="113"/>
      <c r="C308" s="11" t="s">
        <v>19</v>
      </c>
      <c r="D308" s="32">
        <f>'приложение 9'!H340</f>
        <v>44.100999999999999</v>
      </c>
      <c r="E308" s="32">
        <f>'приложение 9'!I340</f>
        <v>44.100999999999999</v>
      </c>
      <c r="F308" s="32">
        <f>'приложение 9'!J340</f>
        <v>0</v>
      </c>
      <c r="G308" s="32">
        <f>'приложение 9'!K340</f>
        <v>0</v>
      </c>
      <c r="H308" s="32">
        <f>'приложение 9'!L340</f>
        <v>10.460789999999999</v>
      </c>
      <c r="I308" s="32">
        <f>'приложение 9'!M340</f>
        <v>10.460789999999999</v>
      </c>
      <c r="J308" s="32">
        <f>'приложение 9'!N340</f>
        <v>34.700679999999998</v>
      </c>
      <c r="K308" s="32">
        <f>'приложение 9'!O340</f>
        <v>34.700679999999998</v>
      </c>
      <c r="L308" s="32">
        <f>'приложение 9'!P340</f>
        <v>69.42371</v>
      </c>
      <c r="M308" s="32">
        <f>'приложение 9'!Q340</f>
        <v>69.42371</v>
      </c>
      <c r="N308" s="32">
        <f>'приложение 9'!R340</f>
        <v>0</v>
      </c>
      <c r="O308" s="32">
        <f>'приложение 9'!S340</f>
        <v>0</v>
      </c>
      <c r="P308" s="8"/>
    </row>
    <row r="309" spans="1:16">
      <c r="A309" s="110"/>
      <c r="B309" s="113"/>
      <c r="C309" s="11" t="s">
        <v>20</v>
      </c>
      <c r="D309" s="7"/>
      <c r="E309" s="7"/>
      <c r="F309" s="7"/>
      <c r="G309" s="7"/>
      <c r="H309" s="7"/>
      <c r="I309" s="7"/>
      <c r="J309" s="7"/>
      <c r="K309" s="7"/>
      <c r="L309" s="32"/>
      <c r="M309" s="32"/>
      <c r="N309" s="8"/>
      <c r="O309" s="8"/>
      <c r="P309" s="8"/>
    </row>
    <row r="310" spans="1:16">
      <c r="A310" s="110"/>
      <c r="B310" s="113"/>
      <c r="C310" s="11" t="s">
        <v>21</v>
      </c>
      <c r="D310" s="7"/>
      <c r="E310" s="7"/>
      <c r="F310" s="7"/>
      <c r="G310" s="7"/>
      <c r="H310" s="7"/>
      <c r="I310" s="7"/>
      <c r="J310" s="7"/>
      <c r="K310" s="7"/>
      <c r="L310" s="32"/>
      <c r="M310" s="32"/>
      <c r="N310" s="8"/>
      <c r="O310" s="8"/>
      <c r="P310" s="8"/>
    </row>
    <row r="311" spans="1:16">
      <c r="A311" s="110"/>
      <c r="B311" s="113"/>
      <c r="C311" s="11" t="s">
        <v>22</v>
      </c>
      <c r="D311" s="7"/>
      <c r="E311" s="7"/>
      <c r="F311" s="7"/>
      <c r="G311" s="7"/>
      <c r="H311" s="7"/>
      <c r="I311" s="7"/>
      <c r="J311" s="7"/>
      <c r="K311" s="7"/>
      <c r="L311" s="32"/>
      <c r="M311" s="32"/>
      <c r="N311" s="8"/>
      <c r="O311" s="8"/>
      <c r="P311" s="8"/>
    </row>
    <row r="312" spans="1:16">
      <c r="A312" s="111"/>
      <c r="B312" s="114"/>
      <c r="C312" s="11" t="s">
        <v>23</v>
      </c>
      <c r="D312" s="7"/>
      <c r="E312" s="7"/>
      <c r="F312" s="7"/>
      <c r="G312" s="7"/>
      <c r="H312" s="7"/>
      <c r="I312" s="7"/>
      <c r="J312" s="7"/>
      <c r="K312" s="7"/>
      <c r="L312" s="32"/>
      <c r="M312" s="32"/>
      <c r="N312" s="8"/>
      <c r="O312" s="8"/>
      <c r="P312" s="8"/>
    </row>
    <row r="313" spans="1:16" ht="14.25" customHeight="1">
      <c r="A313" s="109" t="s">
        <v>32</v>
      </c>
      <c r="B313" s="112" t="s">
        <v>406</v>
      </c>
      <c r="C313" s="29" t="s">
        <v>16</v>
      </c>
      <c r="D313" s="32">
        <f t="shared" ref="D313:E313" si="105">SUM(D315:D320)</f>
        <v>99</v>
      </c>
      <c r="E313" s="32">
        <f t="shared" si="105"/>
        <v>99</v>
      </c>
      <c r="F313" s="32">
        <f t="shared" ref="F313:K313" si="106">SUM(F315:F320)</f>
        <v>0</v>
      </c>
      <c r="G313" s="32">
        <f t="shared" si="106"/>
        <v>0</v>
      </c>
      <c r="H313" s="32">
        <f t="shared" si="106"/>
        <v>0</v>
      </c>
      <c r="I313" s="32">
        <f t="shared" si="106"/>
        <v>0</v>
      </c>
      <c r="J313" s="32">
        <f t="shared" si="106"/>
        <v>0</v>
      </c>
      <c r="K313" s="32">
        <f t="shared" si="106"/>
        <v>0</v>
      </c>
      <c r="L313" s="32">
        <f>SUM(L315:L320)</f>
        <v>0</v>
      </c>
      <c r="M313" s="32">
        <f>SUM(M315:M320)</f>
        <v>0</v>
      </c>
      <c r="N313" s="32">
        <f t="shared" ref="N313:O313" si="107">SUM(N315:N320)</f>
        <v>0</v>
      </c>
      <c r="O313" s="32">
        <f t="shared" si="107"/>
        <v>0</v>
      </c>
      <c r="P313" s="8"/>
    </row>
    <row r="314" spans="1:16">
      <c r="A314" s="110"/>
      <c r="B314" s="113"/>
      <c r="C314" s="29" t="s">
        <v>17</v>
      </c>
      <c r="D314" s="32"/>
      <c r="E314" s="32"/>
      <c r="F314" s="32"/>
      <c r="G314" s="32"/>
      <c r="H314" s="32"/>
      <c r="I314" s="32"/>
      <c r="J314" s="32"/>
      <c r="K314" s="32"/>
      <c r="L314" s="32"/>
      <c r="M314" s="32"/>
      <c r="N314" s="32"/>
      <c r="O314" s="32"/>
      <c r="P314" s="8"/>
    </row>
    <row r="315" spans="1:16">
      <c r="A315" s="110"/>
      <c r="B315" s="113"/>
      <c r="C315" s="29" t="s">
        <v>18</v>
      </c>
      <c r="D315" s="32"/>
      <c r="E315" s="32"/>
      <c r="F315" s="32"/>
      <c r="G315" s="32"/>
      <c r="H315" s="32"/>
      <c r="I315" s="32"/>
      <c r="J315" s="32"/>
      <c r="K315" s="32"/>
      <c r="L315" s="32"/>
      <c r="M315" s="32"/>
      <c r="N315" s="32"/>
      <c r="O315" s="32"/>
      <c r="P315" s="8"/>
    </row>
    <row r="316" spans="1:16">
      <c r="A316" s="110"/>
      <c r="B316" s="113"/>
      <c r="C316" s="29" t="s">
        <v>19</v>
      </c>
      <c r="D316" s="32">
        <f>'приложение 9'!H342</f>
        <v>99</v>
      </c>
      <c r="E316" s="32">
        <f>'приложение 9'!I342</f>
        <v>99</v>
      </c>
      <c r="F316" s="32">
        <f>'приложение 9'!J342</f>
        <v>0</v>
      </c>
      <c r="G316" s="32">
        <f>'приложение 9'!K342</f>
        <v>0</v>
      </c>
      <c r="H316" s="32">
        <f>'приложение 9'!L342</f>
        <v>0</v>
      </c>
      <c r="I316" s="32">
        <f>'приложение 9'!M342</f>
        <v>0</v>
      </c>
      <c r="J316" s="32">
        <f>'приложение 9'!N342</f>
        <v>0</v>
      </c>
      <c r="K316" s="32">
        <f>'приложение 9'!O342</f>
        <v>0</v>
      </c>
      <c r="L316" s="32">
        <f>'приложение 9'!P342</f>
        <v>0</v>
      </c>
      <c r="M316" s="32">
        <f>'приложение 9'!Q342</f>
        <v>0</v>
      </c>
      <c r="N316" s="32">
        <f>'приложение 9'!R342</f>
        <v>0</v>
      </c>
      <c r="O316" s="32">
        <f>'приложение 9'!S342</f>
        <v>0</v>
      </c>
      <c r="P316" s="8"/>
    </row>
    <row r="317" spans="1:16">
      <c r="A317" s="110"/>
      <c r="B317" s="113"/>
      <c r="C317" s="29" t="s">
        <v>20</v>
      </c>
      <c r="D317" s="32"/>
      <c r="E317" s="32"/>
      <c r="F317" s="32"/>
      <c r="G317" s="32"/>
      <c r="H317" s="32"/>
      <c r="I317" s="32"/>
      <c r="J317" s="32"/>
      <c r="K317" s="32"/>
      <c r="L317" s="32"/>
      <c r="M317" s="32"/>
      <c r="N317" s="8"/>
      <c r="O317" s="8"/>
      <c r="P317" s="8"/>
    </row>
    <row r="318" spans="1:16">
      <c r="A318" s="110"/>
      <c r="B318" s="113"/>
      <c r="C318" s="29" t="s">
        <v>21</v>
      </c>
      <c r="D318" s="32"/>
      <c r="E318" s="32"/>
      <c r="F318" s="32"/>
      <c r="G318" s="32"/>
      <c r="H318" s="32"/>
      <c r="I318" s="32"/>
      <c r="J318" s="32"/>
      <c r="K318" s="32"/>
      <c r="L318" s="32"/>
      <c r="M318" s="32"/>
      <c r="N318" s="8"/>
      <c r="O318" s="8"/>
      <c r="P318" s="8"/>
    </row>
    <row r="319" spans="1:16">
      <c r="A319" s="110"/>
      <c r="B319" s="113"/>
      <c r="C319" s="29" t="s">
        <v>22</v>
      </c>
      <c r="D319" s="32"/>
      <c r="E319" s="32"/>
      <c r="F319" s="32"/>
      <c r="G319" s="32"/>
      <c r="H319" s="32"/>
      <c r="I319" s="32"/>
      <c r="J319" s="32"/>
      <c r="K319" s="32"/>
      <c r="L319" s="32"/>
      <c r="M319" s="32"/>
      <c r="N319" s="8"/>
      <c r="O319" s="8"/>
      <c r="P319" s="8"/>
    </row>
    <row r="320" spans="1:16">
      <c r="A320" s="111"/>
      <c r="B320" s="114"/>
      <c r="C320" s="29" t="s">
        <v>23</v>
      </c>
      <c r="D320" s="32"/>
      <c r="E320" s="32"/>
      <c r="F320" s="32"/>
      <c r="G320" s="32"/>
      <c r="H320" s="32"/>
      <c r="I320" s="32"/>
      <c r="J320" s="32"/>
      <c r="K320" s="32"/>
      <c r="L320" s="32"/>
      <c r="M320" s="32"/>
      <c r="N320" s="8"/>
      <c r="O320" s="8"/>
      <c r="P320" s="8"/>
    </row>
    <row r="321" spans="1:16" ht="14.25" customHeight="1">
      <c r="A321" s="109" t="s">
        <v>33</v>
      </c>
      <c r="B321" s="112" t="s">
        <v>40</v>
      </c>
      <c r="C321" s="29" t="s">
        <v>16</v>
      </c>
      <c r="D321" s="32">
        <f t="shared" ref="D321:E321" si="108">SUM(D323:D328)</f>
        <v>19270.012999999999</v>
      </c>
      <c r="E321" s="32">
        <f t="shared" si="108"/>
        <v>19148.843850000001</v>
      </c>
      <c r="F321" s="32">
        <f t="shared" ref="F321:K321" si="109">SUM(F323:F328)</f>
        <v>5326.3360000000002</v>
      </c>
      <c r="G321" s="32">
        <f t="shared" si="109"/>
        <v>5326.3360000000002</v>
      </c>
      <c r="H321" s="32">
        <f t="shared" si="109"/>
        <v>9986.5418100000006</v>
      </c>
      <c r="I321" s="32">
        <f t="shared" si="109"/>
        <v>9986.5418100000006</v>
      </c>
      <c r="J321" s="32">
        <f t="shared" si="109"/>
        <v>14420.06048</v>
      </c>
      <c r="K321" s="32">
        <f t="shared" si="109"/>
        <v>14420.06048</v>
      </c>
      <c r="L321" s="32">
        <f>SUM(L323:L328)</f>
        <v>19891.034359999998</v>
      </c>
      <c r="M321" s="32">
        <f>SUM(M323:M328)</f>
        <v>19807.941490000001</v>
      </c>
      <c r="N321" s="32">
        <f t="shared" ref="N321:O321" si="110">SUM(N323:N328)</f>
        <v>20999.902000000002</v>
      </c>
      <c r="O321" s="32">
        <f t="shared" si="110"/>
        <v>20999.902000000002</v>
      </c>
      <c r="P321" s="8"/>
    </row>
    <row r="322" spans="1:16">
      <c r="A322" s="110"/>
      <c r="B322" s="113"/>
      <c r="C322" s="29" t="s">
        <v>17</v>
      </c>
      <c r="D322" s="32"/>
      <c r="E322" s="32"/>
      <c r="F322" s="32"/>
      <c r="G322" s="32"/>
      <c r="H322" s="32"/>
      <c r="I322" s="32"/>
      <c r="J322" s="32"/>
      <c r="K322" s="32"/>
      <c r="L322" s="32"/>
      <c r="M322" s="32"/>
      <c r="N322" s="8"/>
      <c r="O322" s="8"/>
      <c r="P322" s="8"/>
    </row>
    <row r="323" spans="1:16">
      <c r="A323" s="110"/>
      <c r="B323" s="113"/>
      <c r="C323" s="29" t="s">
        <v>18</v>
      </c>
      <c r="D323" s="32"/>
      <c r="E323" s="32"/>
      <c r="F323" s="32"/>
      <c r="G323" s="32"/>
      <c r="H323" s="32"/>
      <c r="I323" s="32"/>
      <c r="J323" s="32"/>
      <c r="K323" s="32"/>
      <c r="L323" s="32"/>
      <c r="M323" s="32"/>
      <c r="N323" s="8"/>
      <c r="O323" s="8"/>
      <c r="P323" s="8"/>
    </row>
    <row r="324" spans="1:16">
      <c r="A324" s="110"/>
      <c r="B324" s="113"/>
      <c r="C324" s="29" t="s">
        <v>19</v>
      </c>
      <c r="D324" s="32"/>
      <c r="E324" s="32"/>
      <c r="F324" s="32"/>
      <c r="G324" s="32"/>
      <c r="H324" s="32"/>
      <c r="I324" s="32"/>
      <c r="J324" s="32"/>
      <c r="K324" s="32"/>
      <c r="L324" s="32"/>
      <c r="M324" s="32"/>
      <c r="N324" s="8"/>
      <c r="O324" s="8"/>
      <c r="P324" s="8"/>
    </row>
    <row r="325" spans="1:16">
      <c r="A325" s="110"/>
      <c r="B325" s="113"/>
      <c r="C325" s="29" t="s">
        <v>20</v>
      </c>
      <c r="D325" s="32">
        <f>'приложение 9'!H344+'приложение 9'!H345</f>
        <v>19270.012999999999</v>
      </c>
      <c r="E325" s="32">
        <f>'приложение 9'!I344+'приложение 9'!I345</f>
        <v>19148.843850000001</v>
      </c>
      <c r="F325" s="32">
        <f>'приложение 9'!J344+'приложение 9'!J345</f>
        <v>5326.3360000000002</v>
      </c>
      <c r="G325" s="32">
        <f>'приложение 9'!K344+'приложение 9'!K345</f>
        <v>5326.3360000000002</v>
      </c>
      <c r="H325" s="32">
        <f>'приложение 9'!L344+'приложение 9'!L345</f>
        <v>9986.5418100000006</v>
      </c>
      <c r="I325" s="32">
        <f>'приложение 9'!M344+'приложение 9'!M345</f>
        <v>9986.5418100000006</v>
      </c>
      <c r="J325" s="32">
        <f>'приложение 9'!N344+'приложение 9'!N345</f>
        <v>14420.06048</v>
      </c>
      <c r="K325" s="32">
        <f>'приложение 9'!O344+'приложение 9'!O345</f>
        <v>14420.06048</v>
      </c>
      <c r="L325" s="32">
        <f>'приложение 9'!P344+'приложение 9'!P345</f>
        <v>19891.034359999998</v>
      </c>
      <c r="M325" s="32">
        <f>'приложение 9'!Q344+'приложение 9'!Q345</f>
        <v>19807.941490000001</v>
      </c>
      <c r="N325" s="32">
        <f>'приложение 9'!R344+'приложение 9'!R345</f>
        <v>20999.902000000002</v>
      </c>
      <c r="O325" s="32">
        <f>'приложение 9'!S344+'приложение 9'!S345</f>
        <v>20999.902000000002</v>
      </c>
      <c r="P325" s="8"/>
    </row>
    <row r="326" spans="1:16">
      <c r="A326" s="110"/>
      <c r="B326" s="113"/>
      <c r="C326" s="29" t="s">
        <v>21</v>
      </c>
      <c r="D326" s="32"/>
      <c r="E326" s="32"/>
      <c r="F326" s="32"/>
      <c r="G326" s="32"/>
      <c r="H326" s="32"/>
      <c r="I326" s="32"/>
      <c r="J326" s="32"/>
      <c r="K326" s="32"/>
      <c r="L326" s="32"/>
      <c r="M326" s="32"/>
      <c r="N326" s="8"/>
      <c r="O326" s="8"/>
      <c r="P326" s="8"/>
    </row>
    <row r="327" spans="1:16">
      <c r="A327" s="110"/>
      <c r="B327" s="113"/>
      <c r="C327" s="29" t="s">
        <v>22</v>
      </c>
      <c r="D327" s="32"/>
      <c r="E327" s="32"/>
      <c r="F327" s="32"/>
      <c r="G327" s="32"/>
      <c r="H327" s="32"/>
      <c r="I327" s="32"/>
      <c r="J327" s="32"/>
      <c r="K327" s="32"/>
      <c r="L327" s="32"/>
      <c r="M327" s="32"/>
      <c r="N327" s="8"/>
      <c r="O327" s="8"/>
      <c r="P327" s="8"/>
    </row>
    <row r="328" spans="1:16">
      <c r="A328" s="111"/>
      <c r="B328" s="114"/>
      <c r="C328" s="29" t="s">
        <v>23</v>
      </c>
      <c r="D328" s="32"/>
      <c r="E328" s="32"/>
      <c r="F328" s="32"/>
      <c r="G328" s="32"/>
      <c r="H328" s="32"/>
      <c r="I328" s="32"/>
      <c r="J328" s="32"/>
      <c r="K328" s="32"/>
      <c r="L328" s="32"/>
      <c r="M328" s="32"/>
      <c r="N328" s="8"/>
      <c r="O328" s="8"/>
      <c r="P328" s="8"/>
    </row>
    <row r="329" spans="1:16" ht="14.25" customHeight="1">
      <c r="A329" s="109" t="s">
        <v>34</v>
      </c>
      <c r="B329" s="112" t="s">
        <v>38</v>
      </c>
      <c r="C329" s="68" t="s">
        <v>16</v>
      </c>
      <c r="D329" s="32">
        <f t="shared" ref="D329:E329" si="111">SUM(D331:D336)</f>
        <v>0</v>
      </c>
      <c r="E329" s="32">
        <f t="shared" si="111"/>
        <v>0</v>
      </c>
      <c r="F329" s="32">
        <f t="shared" ref="F329:K329" si="112">SUM(F331:F336)</f>
        <v>0</v>
      </c>
      <c r="G329" s="32">
        <f t="shared" si="112"/>
        <v>0</v>
      </c>
      <c r="H329" s="32">
        <f t="shared" si="112"/>
        <v>0</v>
      </c>
      <c r="I329" s="32">
        <f t="shared" si="112"/>
        <v>0</v>
      </c>
      <c r="J329" s="32">
        <f t="shared" si="112"/>
        <v>0</v>
      </c>
      <c r="K329" s="32">
        <f t="shared" si="112"/>
        <v>0</v>
      </c>
      <c r="L329" s="32">
        <f>SUM(L331:L336)</f>
        <v>2.4796399999999998</v>
      </c>
      <c r="M329" s="32">
        <f>SUM(M331:M336)</f>
        <v>2.4796399999999998</v>
      </c>
      <c r="N329" s="32">
        <f t="shared" ref="N329:O329" si="113">SUM(N331:N336)</f>
        <v>0</v>
      </c>
      <c r="O329" s="32">
        <f t="shared" si="113"/>
        <v>0</v>
      </c>
      <c r="P329" s="8"/>
    </row>
    <row r="330" spans="1:16">
      <c r="A330" s="110"/>
      <c r="B330" s="113"/>
      <c r="C330" s="68" t="s">
        <v>17</v>
      </c>
      <c r="D330" s="32"/>
      <c r="E330" s="32"/>
      <c r="F330" s="32"/>
      <c r="G330" s="32"/>
      <c r="H330" s="32"/>
      <c r="I330" s="32"/>
      <c r="J330" s="32"/>
      <c r="K330" s="32"/>
      <c r="L330" s="32"/>
      <c r="M330" s="32"/>
      <c r="N330" s="8"/>
      <c r="O330" s="8"/>
      <c r="P330" s="8"/>
    </row>
    <row r="331" spans="1:16">
      <c r="A331" s="110"/>
      <c r="B331" s="113"/>
      <c r="C331" s="68" t="s">
        <v>18</v>
      </c>
      <c r="D331" s="32"/>
      <c r="E331" s="32"/>
      <c r="F331" s="32"/>
      <c r="G331" s="32"/>
      <c r="H331" s="32"/>
      <c r="I331" s="32"/>
      <c r="J331" s="32"/>
      <c r="K331" s="32"/>
      <c r="L331" s="32"/>
      <c r="M331" s="32"/>
      <c r="N331" s="8"/>
      <c r="O331" s="8"/>
      <c r="P331" s="8"/>
    </row>
    <row r="332" spans="1:16">
      <c r="A332" s="110"/>
      <c r="B332" s="113"/>
      <c r="C332" s="68" t="s">
        <v>19</v>
      </c>
      <c r="D332" s="32"/>
      <c r="E332" s="32"/>
      <c r="F332" s="32"/>
      <c r="G332" s="32"/>
      <c r="H332" s="32"/>
      <c r="I332" s="32"/>
      <c r="J332" s="32"/>
      <c r="K332" s="32"/>
      <c r="L332" s="32"/>
      <c r="M332" s="32"/>
      <c r="N332" s="8"/>
      <c r="O332" s="8"/>
      <c r="P332" s="8"/>
    </row>
    <row r="333" spans="1:16">
      <c r="A333" s="110"/>
      <c r="B333" s="113"/>
      <c r="C333" s="68" t="s">
        <v>20</v>
      </c>
      <c r="D333" s="32">
        <f>'приложение 9'!H347</f>
        <v>0</v>
      </c>
      <c r="E333" s="32">
        <f>'приложение 9'!I347</f>
        <v>0</v>
      </c>
      <c r="F333" s="32">
        <f>'приложение 9'!J347</f>
        <v>0</v>
      </c>
      <c r="G333" s="32">
        <f>'приложение 9'!K347</f>
        <v>0</v>
      </c>
      <c r="H333" s="32">
        <f>'приложение 9'!L347</f>
        <v>0</v>
      </c>
      <c r="I333" s="32">
        <f>'приложение 9'!M347</f>
        <v>0</v>
      </c>
      <c r="J333" s="32">
        <f>'приложение 9'!N347</f>
        <v>0</v>
      </c>
      <c r="K333" s="32">
        <f>'приложение 9'!O347</f>
        <v>0</v>
      </c>
      <c r="L333" s="32">
        <f>'приложение 9'!P347</f>
        <v>2.4796399999999998</v>
      </c>
      <c r="M333" s="32">
        <f>'приложение 9'!Q347</f>
        <v>2.4796399999999998</v>
      </c>
      <c r="N333" s="32">
        <f>'приложение 9'!R347</f>
        <v>0</v>
      </c>
      <c r="O333" s="32">
        <f>'приложение 9'!S347</f>
        <v>0</v>
      </c>
      <c r="P333" s="8"/>
    </row>
    <row r="334" spans="1:16">
      <c r="A334" s="110"/>
      <c r="B334" s="113"/>
      <c r="C334" s="68" t="s">
        <v>21</v>
      </c>
      <c r="D334" s="32"/>
      <c r="E334" s="32"/>
      <c r="F334" s="32"/>
      <c r="G334" s="32"/>
      <c r="H334" s="32"/>
      <c r="I334" s="32"/>
      <c r="J334" s="32"/>
      <c r="K334" s="32"/>
      <c r="L334" s="32"/>
      <c r="M334" s="32"/>
      <c r="N334" s="8"/>
      <c r="O334" s="8"/>
      <c r="P334" s="8"/>
    </row>
    <row r="335" spans="1:16">
      <c r="A335" s="110"/>
      <c r="B335" s="113"/>
      <c r="C335" s="68" t="s">
        <v>22</v>
      </c>
      <c r="D335" s="32"/>
      <c r="E335" s="32"/>
      <c r="F335" s="32"/>
      <c r="G335" s="32"/>
      <c r="H335" s="32"/>
      <c r="I335" s="32"/>
      <c r="J335" s="32"/>
      <c r="K335" s="32"/>
      <c r="L335" s="32"/>
      <c r="M335" s="32"/>
      <c r="N335" s="8"/>
      <c r="O335" s="8"/>
      <c r="P335" s="8"/>
    </row>
    <row r="336" spans="1:16">
      <c r="A336" s="111"/>
      <c r="B336" s="114"/>
      <c r="C336" s="68" t="s">
        <v>23</v>
      </c>
      <c r="D336" s="32"/>
      <c r="E336" s="32"/>
      <c r="F336" s="32"/>
      <c r="G336" s="32"/>
      <c r="H336" s="32"/>
      <c r="I336" s="32"/>
      <c r="J336" s="32"/>
      <c r="K336" s="32"/>
      <c r="L336" s="32"/>
      <c r="M336" s="32"/>
      <c r="N336" s="8"/>
      <c r="O336" s="8"/>
      <c r="P336" s="8"/>
    </row>
    <row r="337" spans="1:16" ht="14.25" customHeight="1">
      <c r="A337" s="109" t="s">
        <v>35</v>
      </c>
      <c r="B337" s="112" t="s">
        <v>410</v>
      </c>
      <c r="C337" s="29" t="s">
        <v>16</v>
      </c>
      <c r="D337" s="32">
        <f t="shared" ref="D337:E337" si="114">SUM(D339:D344)</f>
        <v>40.94</v>
      </c>
      <c r="E337" s="32">
        <f t="shared" si="114"/>
        <v>39.89</v>
      </c>
      <c r="F337" s="32">
        <f t="shared" ref="F337:K337" si="115">SUM(F339:F344)</f>
        <v>0</v>
      </c>
      <c r="G337" s="32">
        <f t="shared" si="115"/>
        <v>0</v>
      </c>
      <c r="H337" s="32">
        <f t="shared" si="115"/>
        <v>0</v>
      </c>
      <c r="I337" s="32">
        <f t="shared" si="115"/>
        <v>0</v>
      </c>
      <c r="J337" s="32">
        <f t="shared" si="115"/>
        <v>0</v>
      </c>
      <c r="K337" s="32">
        <f t="shared" si="115"/>
        <v>0</v>
      </c>
      <c r="L337" s="32">
        <f>SUM(L339:L344)</f>
        <v>0</v>
      </c>
      <c r="M337" s="32">
        <f>SUM(M339:M344)</f>
        <v>0</v>
      </c>
      <c r="N337" s="32">
        <f t="shared" ref="N337:O337" si="116">SUM(N339:N344)</f>
        <v>0</v>
      </c>
      <c r="O337" s="32">
        <f t="shared" si="116"/>
        <v>0</v>
      </c>
      <c r="P337" s="8"/>
    </row>
    <row r="338" spans="1:16">
      <c r="A338" s="110"/>
      <c r="B338" s="113"/>
      <c r="C338" s="29" t="s">
        <v>17</v>
      </c>
      <c r="D338" s="32"/>
      <c r="E338" s="32"/>
      <c r="F338" s="32"/>
      <c r="G338" s="32"/>
      <c r="H338" s="32"/>
      <c r="I338" s="32"/>
      <c r="J338" s="32"/>
      <c r="K338" s="32"/>
      <c r="L338" s="32"/>
      <c r="M338" s="32"/>
      <c r="N338" s="8"/>
      <c r="O338" s="8"/>
      <c r="P338" s="8"/>
    </row>
    <row r="339" spans="1:16">
      <c r="A339" s="110"/>
      <c r="B339" s="113"/>
      <c r="C339" s="29" t="s">
        <v>18</v>
      </c>
      <c r="D339" s="32"/>
      <c r="E339" s="32"/>
      <c r="F339" s="32"/>
      <c r="G339" s="32"/>
      <c r="H339" s="32"/>
      <c r="I339" s="32"/>
      <c r="J339" s="32"/>
      <c r="K339" s="32"/>
      <c r="L339" s="32"/>
      <c r="M339" s="32"/>
      <c r="N339" s="8"/>
      <c r="O339" s="8"/>
      <c r="P339" s="8"/>
    </row>
    <row r="340" spans="1:16">
      <c r="A340" s="110"/>
      <c r="B340" s="113"/>
      <c r="C340" s="29" t="s">
        <v>19</v>
      </c>
      <c r="D340" s="32"/>
      <c r="E340" s="32"/>
      <c r="F340" s="32"/>
      <c r="G340" s="32"/>
      <c r="H340" s="32"/>
      <c r="I340" s="32"/>
      <c r="J340" s="32"/>
      <c r="K340" s="32"/>
      <c r="L340" s="32"/>
      <c r="M340" s="32"/>
      <c r="N340" s="8"/>
      <c r="O340" s="8"/>
      <c r="P340" s="8"/>
    </row>
    <row r="341" spans="1:16">
      <c r="A341" s="110"/>
      <c r="B341" s="113"/>
      <c r="C341" s="29" t="s">
        <v>20</v>
      </c>
      <c r="D341" s="32">
        <f>'приложение 9'!H349+'приложение 9'!H350</f>
        <v>40.94</v>
      </c>
      <c r="E341" s="32">
        <f>'приложение 9'!I349+'приложение 9'!I350</f>
        <v>39.89</v>
      </c>
      <c r="F341" s="32">
        <f>'приложение 9'!J349+'приложение 9'!J350</f>
        <v>0</v>
      </c>
      <c r="G341" s="32">
        <f>'приложение 9'!K349+'приложение 9'!K350</f>
        <v>0</v>
      </c>
      <c r="H341" s="32">
        <f>'приложение 9'!L349+'приложение 9'!L350</f>
        <v>0</v>
      </c>
      <c r="I341" s="32">
        <f>'приложение 9'!M349+'приложение 9'!M350</f>
        <v>0</v>
      </c>
      <c r="J341" s="32">
        <f>'приложение 9'!N349+'приложение 9'!N350</f>
        <v>0</v>
      </c>
      <c r="K341" s="32">
        <f>'приложение 9'!O349+'приложение 9'!O350</f>
        <v>0</v>
      </c>
      <c r="L341" s="32">
        <f>'приложение 9'!P349+'приложение 9'!P350</f>
        <v>0</v>
      </c>
      <c r="M341" s="32">
        <f>'приложение 9'!Q349+'приложение 9'!Q350</f>
        <v>0</v>
      </c>
      <c r="N341" s="32">
        <f>'приложение 9'!R349+'приложение 9'!R350</f>
        <v>0</v>
      </c>
      <c r="O341" s="32">
        <f>'приложение 9'!S349+'приложение 9'!S350</f>
        <v>0</v>
      </c>
      <c r="P341" s="8"/>
    </row>
    <row r="342" spans="1:16">
      <c r="A342" s="110"/>
      <c r="B342" s="113"/>
      <c r="C342" s="29" t="s">
        <v>21</v>
      </c>
      <c r="D342" s="32"/>
      <c r="E342" s="32"/>
      <c r="F342" s="32"/>
      <c r="G342" s="32"/>
      <c r="H342" s="32"/>
      <c r="I342" s="32"/>
      <c r="J342" s="32"/>
      <c r="K342" s="32"/>
      <c r="L342" s="32"/>
      <c r="M342" s="32"/>
      <c r="N342" s="8"/>
      <c r="O342" s="8"/>
      <c r="P342" s="8"/>
    </row>
    <row r="343" spans="1:16">
      <c r="A343" s="110"/>
      <c r="B343" s="113"/>
      <c r="C343" s="29" t="s">
        <v>22</v>
      </c>
      <c r="D343" s="32"/>
      <c r="E343" s="32"/>
      <c r="F343" s="32"/>
      <c r="G343" s="32"/>
      <c r="H343" s="32"/>
      <c r="I343" s="32"/>
      <c r="J343" s="32"/>
      <c r="K343" s="32"/>
      <c r="L343" s="32"/>
      <c r="M343" s="32"/>
      <c r="N343" s="8"/>
      <c r="O343" s="8"/>
      <c r="P343" s="8"/>
    </row>
    <row r="344" spans="1:16">
      <c r="A344" s="111"/>
      <c r="B344" s="114"/>
      <c r="C344" s="29" t="s">
        <v>23</v>
      </c>
      <c r="D344" s="32"/>
      <c r="E344" s="32"/>
      <c r="F344" s="32"/>
      <c r="G344" s="32"/>
      <c r="H344" s="32"/>
      <c r="I344" s="32"/>
      <c r="J344" s="32"/>
      <c r="K344" s="32"/>
      <c r="L344" s="32"/>
      <c r="M344" s="32"/>
      <c r="N344" s="8"/>
      <c r="O344" s="8"/>
      <c r="P344" s="8"/>
    </row>
    <row r="345" spans="1:16" ht="14.25" customHeight="1">
      <c r="A345" s="109" t="s">
        <v>36</v>
      </c>
      <c r="B345" s="112" t="s">
        <v>413</v>
      </c>
      <c r="C345" s="29" t="s">
        <v>16</v>
      </c>
      <c r="D345" s="32">
        <f t="shared" ref="D345:E345" si="117">SUM(D347:D352)</f>
        <v>183.7</v>
      </c>
      <c r="E345" s="32">
        <f t="shared" si="117"/>
        <v>183.7</v>
      </c>
      <c r="F345" s="32">
        <f t="shared" ref="F345:K345" si="118">SUM(F347:F352)</f>
        <v>0</v>
      </c>
      <c r="G345" s="32">
        <f t="shared" si="118"/>
        <v>0</v>
      </c>
      <c r="H345" s="32">
        <f t="shared" si="118"/>
        <v>0</v>
      </c>
      <c r="I345" s="32">
        <f t="shared" si="118"/>
        <v>0</v>
      </c>
      <c r="J345" s="32">
        <f t="shared" si="118"/>
        <v>0</v>
      </c>
      <c r="K345" s="32">
        <f t="shared" si="118"/>
        <v>0</v>
      </c>
      <c r="L345" s="32">
        <f>SUM(L347:L352)</f>
        <v>0</v>
      </c>
      <c r="M345" s="32">
        <f>SUM(M347:M352)</f>
        <v>0</v>
      </c>
      <c r="N345" s="32">
        <f t="shared" ref="N345:O345" si="119">SUM(N347:N352)</f>
        <v>0</v>
      </c>
      <c r="O345" s="32">
        <f t="shared" si="119"/>
        <v>0</v>
      </c>
      <c r="P345" s="8"/>
    </row>
    <row r="346" spans="1:16">
      <c r="A346" s="110"/>
      <c r="B346" s="113"/>
      <c r="C346" s="29" t="s">
        <v>17</v>
      </c>
      <c r="D346" s="32"/>
      <c r="E346" s="32"/>
      <c r="F346" s="32"/>
      <c r="G346" s="32"/>
      <c r="H346" s="32"/>
      <c r="I346" s="32"/>
      <c r="J346" s="32"/>
      <c r="K346" s="32"/>
      <c r="L346" s="32"/>
      <c r="M346" s="32"/>
      <c r="N346" s="32"/>
      <c r="O346" s="32"/>
      <c r="P346" s="8"/>
    </row>
    <row r="347" spans="1:16">
      <c r="A347" s="110"/>
      <c r="B347" s="113"/>
      <c r="C347" s="29" t="s">
        <v>18</v>
      </c>
      <c r="D347" s="32"/>
      <c r="E347" s="32"/>
      <c r="F347" s="32"/>
      <c r="G347" s="32"/>
      <c r="H347" s="32"/>
      <c r="I347" s="32"/>
      <c r="J347" s="32"/>
      <c r="K347" s="32"/>
      <c r="L347" s="32"/>
      <c r="M347" s="32"/>
      <c r="N347" s="32"/>
      <c r="O347" s="32"/>
      <c r="P347" s="8"/>
    </row>
    <row r="348" spans="1:16">
      <c r="A348" s="110"/>
      <c r="B348" s="113"/>
      <c r="C348" s="29" t="s">
        <v>19</v>
      </c>
      <c r="D348" s="32"/>
      <c r="E348" s="32"/>
      <c r="F348" s="32"/>
      <c r="G348" s="32"/>
      <c r="H348" s="32"/>
      <c r="I348" s="32"/>
      <c r="J348" s="32"/>
      <c r="K348" s="32"/>
      <c r="L348" s="32"/>
      <c r="M348" s="32"/>
      <c r="N348" s="32"/>
      <c r="O348" s="32"/>
      <c r="P348" s="8"/>
    </row>
    <row r="349" spans="1:16">
      <c r="A349" s="110"/>
      <c r="B349" s="113"/>
      <c r="C349" s="29" t="s">
        <v>20</v>
      </c>
      <c r="D349" s="32">
        <f>'приложение 9'!H352</f>
        <v>183.7</v>
      </c>
      <c r="E349" s="32">
        <f>'приложение 9'!I352</f>
        <v>183.7</v>
      </c>
      <c r="F349" s="32">
        <f>'приложение 9'!J352</f>
        <v>0</v>
      </c>
      <c r="G349" s="32">
        <f>'приложение 9'!K352</f>
        <v>0</v>
      </c>
      <c r="H349" s="32">
        <f>'приложение 9'!L352</f>
        <v>0</v>
      </c>
      <c r="I349" s="32">
        <f>'приложение 9'!M352</f>
        <v>0</v>
      </c>
      <c r="J349" s="32">
        <f>'приложение 9'!N352</f>
        <v>0</v>
      </c>
      <c r="K349" s="32">
        <f>'приложение 9'!O352</f>
        <v>0</v>
      </c>
      <c r="L349" s="32">
        <f>'приложение 9'!P352</f>
        <v>0</v>
      </c>
      <c r="M349" s="32">
        <f>'приложение 9'!Q352</f>
        <v>0</v>
      </c>
      <c r="N349" s="32">
        <f>'приложение 9'!R352</f>
        <v>0</v>
      </c>
      <c r="O349" s="32">
        <f>'приложение 9'!S352</f>
        <v>0</v>
      </c>
      <c r="P349" s="8"/>
    </row>
    <row r="350" spans="1:16">
      <c r="A350" s="110"/>
      <c r="B350" s="113"/>
      <c r="C350" s="29" t="s">
        <v>21</v>
      </c>
      <c r="D350" s="32"/>
      <c r="E350" s="32"/>
      <c r="F350" s="32"/>
      <c r="G350" s="32"/>
      <c r="H350" s="32"/>
      <c r="I350" s="32"/>
      <c r="J350" s="32"/>
      <c r="K350" s="32"/>
      <c r="L350" s="32"/>
      <c r="M350" s="32"/>
      <c r="N350" s="32"/>
      <c r="O350" s="32"/>
      <c r="P350" s="8"/>
    </row>
    <row r="351" spans="1:16">
      <c r="A351" s="110"/>
      <c r="B351" s="113"/>
      <c r="C351" s="29" t="s">
        <v>22</v>
      </c>
      <c r="D351" s="32"/>
      <c r="E351" s="32"/>
      <c r="F351" s="32"/>
      <c r="G351" s="32"/>
      <c r="H351" s="32"/>
      <c r="I351" s="32"/>
      <c r="J351" s="32"/>
      <c r="K351" s="32"/>
      <c r="L351" s="32"/>
      <c r="M351" s="32"/>
      <c r="N351" s="32"/>
      <c r="O351" s="32"/>
      <c r="P351" s="8"/>
    </row>
    <row r="352" spans="1:16">
      <c r="A352" s="111"/>
      <c r="B352" s="114"/>
      <c r="C352" s="29" t="s">
        <v>23</v>
      </c>
      <c r="D352" s="32"/>
      <c r="E352" s="32"/>
      <c r="F352" s="32"/>
      <c r="G352" s="32"/>
      <c r="H352" s="32"/>
      <c r="I352" s="32"/>
      <c r="J352" s="32"/>
      <c r="K352" s="32"/>
      <c r="L352" s="32"/>
      <c r="M352" s="32"/>
      <c r="N352" s="32"/>
      <c r="O352" s="32"/>
      <c r="P352" s="8"/>
    </row>
    <row r="353" spans="1:16" ht="14.25" customHeight="1">
      <c r="A353" s="109" t="s">
        <v>37</v>
      </c>
      <c r="B353" s="112" t="s">
        <v>415</v>
      </c>
      <c r="C353" s="29" t="s">
        <v>16</v>
      </c>
      <c r="D353" s="32">
        <f t="shared" ref="D353:E353" si="120">SUM(D355:D360)</f>
        <v>0.99</v>
      </c>
      <c r="E353" s="32">
        <f t="shared" si="120"/>
        <v>0.99</v>
      </c>
      <c r="F353" s="32">
        <f t="shared" ref="F353:K353" si="121">SUM(F355:F360)</f>
        <v>0</v>
      </c>
      <c r="G353" s="32">
        <f t="shared" si="121"/>
        <v>0</v>
      </c>
      <c r="H353" s="32">
        <f t="shared" si="121"/>
        <v>0</v>
      </c>
      <c r="I353" s="32">
        <f t="shared" si="121"/>
        <v>0</v>
      </c>
      <c r="J353" s="32">
        <f t="shared" si="121"/>
        <v>0</v>
      </c>
      <c r="K353" s="32">
        <f t="shared" si="121"/>
        <v>0</v>
      </c>
      <c r="L353" s="32">
        <f>SUM(L355:L360)</f>
        <v>0</v>
      </c>
      <c r="M353" s="32">
        <f>SUM(M355:M360)</f>
        <v>0</v>
      </c>
      <c r="N353" s="32">
        <f t="shared" ref="N353:O353" si="122">SUM(N355:N360)</f>
        <v>0</v>
      </c>
      <c r="O353" s="32">
        <f t="shared" si="122"/>
        <v>0</v>
      </c>
      <c r="P353" s="8"/>
    </row>
    <row r="354" spans="1:16">
      <c r="A354" s="110"/>
      <c r="B354" s="113"/>
      <c r="C354" s="29" t="s">
        <v>17</v>
      </c>
      <c r="D354" s="32"/>
      <c r="E354" s="32"/>
      <c r="F354" s="32"/>
      <c r="G354" s="32"/>
      <c r="H354" s="32"/>
      <c r="I354" s="32"/>
      <c r="J354" s="32"/>
      <c r="K354" s="32"/>
      <c r="L354" s="32"/>
      <c r="M354" s="32"/>
      <c r="N354" s="32"/>
      <c r="O354" s="32"/>
      <c r="P354" s="8"/>
    </row>
    <row r="355" spans="1:16">
      <c r="A355" s="110"/>
      <c r="B355" s="113"/>
      <c r="C355" s="29" t="s">
        <v>18</v>
      </c>
      <c r="D355" s="32"/>
      <c r="E355" s="32"/>
      <c r="F355" s="32"/>
      <c r="G355" s="32"/>
      <c r="H355" s="32"/>
      <c r="I355" s="32"/>
      <c r="J355" s="32"/>
      <c r="K355" s="32"/>
      <c r="L355" s="32"/>
      <c r="M355" s="32"/>
      <c r="N355" s="32"/>
      <c r="O355" s="32"/>
      <c r="P355" s="8"/>
    </row>
    <row r="356" spans="1:16">
      <c r="A356" s="110"/>
      <c r="B356" s="113"/>
      <c r="C356" s="29" t="s">
        <v>19</v>
      </c>
      <c r="D356" s="32"/>
      <c r="E356" s="32"/>
      <c r="F356" s="32"/>
      <c r="G356" s="32"/>
      <c r="H356" s="32"/>
      <c r="I356" s="32"/>
      <c r="J356" s="32"/>
      <c r="K356" s="32"/>
      <c r="L356" s="32"/>
      <c r="M356" s="32"/>
      <c r="N356" s="32"/>
      <c r="O356" s="32"/>
      <c r="P356" s="8"/>
    </row>
    <row r="357" spans="1:16">
      <c r="A357" s="110"/>
      <c r="B357" s="113"/>
      <c r="C357" s="29" t="s">
        <v>20</v>
      </c>
      <c r="D357" s="32">
        <f>'приложение 9'!H354</f>
        <v>0.99</v>
      </c>
      <c r="E357" s="32">
        <f>'приложение 9'!I354</f>
        <v>0.99</v>
      </c>
      <c r="F357" s="32">
        <f>'приложение 9'!J354</f>
        <v>0</v>
      </c>
      <c r="G357" s="32">
        <f>'приложение 9'!K354</f>
        <v>0</v>
      </c>
      <c r="H357" s="32">
        <f>'приложение 9'!L354</f>
        <v>0</v>
      </c>
      <c r="I357" s="32">
        <f>'приложение 9'!M354</f>
        <v>0</v>
      </c>
      <c r="J357" s="32">
        <f>'приложение 9'!N354</f>
        <v>0</v>
      </c>
      <c r="K357" s="32">
        <f>'приложение 9'!O354</f>
        <v>0</v>
      </c>
      <c r="L357" s="32">
        <f>'приложение 9'!P354</f>
        <v>0</v>
      </c>
      <c r="M357" s="32">
        <f>'приложение 9'!Q354</f>
        <v>0</v>
      </c>
      <c r="N357" s="32">
        <f>'приложение 9'!R354</f>
        <v>0</v>
      </c>
      <c r="O357" s="32">
        <f>'приложение 9'!S354</f>
        <v>0</v>
      </c>
      <c r="P357" s="8"/>
    </row>
    <row r="358" spans="1:16">
      <c r="A358" s="110"/>
      <c r="B358" s="113"/>
      <c r="C358" s="29" t="s">
        <v>21</v>
      </c>
      <c r="D358" s="32"/>
      <c r="E358" s="32"/>
      <c r="F358" s="32"/>
      <c r="G358" s="32"/>
      <c r="H358" s="32"/>
      <c r="I358" s="32"/>
      <c r="J358" s="32"/>
      <c r="K358" s="32"/>
      <c r="L358" s="32"/>
      <c r="M358" s="32"/>
      <c r="N358" s="8"/>
      <c r="O358" s="8"/>
      <c r="P358" s="8"/>
    </row>
    <row r="359" spans="1:16">
      <c r="A359" s="110"/>
      <c r="B359" s="113"/>
      <c r="C359" s="29" t="s">
        <v>22</v>
      </c>
      <c r="D359" s="32"/>
      <c r="E359" s="32"/>
      <c r="F359" s="32"/>
      <c r="G359" s="32"/>
      <c r="H359" s="32"/>
      <c r="I359" s="32"/>
      <c r="J359" s="32"/>
      <c r="K359" s="32"/>
      <c r="L359" s="32"/>
      <c r="M359" s="32"/>
      <c r="N359" s="8"/>
      <c r="O359" s="8"/>
      <c r="P359" s="8"/>
    </row>
    <row r="360" spans="1:16">
      <c r="A360" s="111"/>
      <c r="B360" s="114"/>
      <c r="C360" s="29" t="s">
        <v>23</v>
      </c>
      <c r="D360" s="32"/>
      <c r="E360" s="32"/>
      <c r="F360" s="32"/>
      <c r="G360" s="32"/>
      <c r="H360" s="32"/>
      <c r="I360" s="32"/>
      <c r="J360" s="32"/>
      <c r="K360" s="32"/>
      <c r="L360" s="32"/>
      <c r="M360" s="32"/>
      <c r="N360" s="8"/>
      <c r="O360" s="8"/>
      <c r="P360" s="8"/>
    </row>
    <row r="361" spans="1:16" ht="13.5" customHeight="1">
      <c r="A361" s="107" t="s">
        <v>15</v>
      </c>
      <c r="B361" s="108" t="s">
        <v>547</v>
      </c>
      <c r="C361" s="11" t="s">
        <v>16</v>
      </c>
      <c r="D361" s="39">
        <f t="shared" ref="D361:E361" si="123">SUM(D363:D368)</f>
        <v>1673.3</v>
      </c>
      <c r="E361" s="39">
        <f t="shared" si="123"/>
        <v>1659.9011</v>
      </c>
      <c r="F361" s="36">
        <f t="shared" ref="F361:K361" si="124">SUM(F363:F368)</f>
        <v>274.79046</v>
      </c>
      <c r="G361" s="36">
        <f t="shared" si="124"/>
        <v>273.75081</v>
      </c>
      <c r="H361" s="36">
        <f t="shared" si="124"/>
        <v>734.04831000000001</v>
      </c>
      <c r="I361" s="36">
        <f t="shared" si="124"/>
        <v>734.04745000000003</v>
      </c>
      <c r="J361" s="36">
        <f t="shared" si="124"/>
        <v>1157.3095699999999</v>
      </c>
      <c r="K361" s="36">
        <f t="shared" si="124"/>
        <v>1156.6877500000001</v>
      </c>
      <c r="L361" s="36">
        <f>SUM(L363:L368)</f>
        <v>1602.2250000000001</v>
      </c>
      <c r="M361" s="36">
        <f>SUM(M363:M368)</f>
        <v>1596.79576</v>
      </c>
      <c r="N361" s="36">
        <f t="shared" ref="N361:O361" si="125">SUM(N363:N368)</f>
        <v>1714.1999999999998</v>
      </c>
      <c r="O361" s="36">
        <f t="shared" si="125"/>
        <v>1719.1999999999998</v>
      </c>
      <c r="P361" s="5"/>
    </row>
    <row r="362" spans="1:16">
      <c r="A362" s="107"/>
      <c r="B362" s="108"/>
      <c r="C362" s="11" t="s">
        <v>17</v>
      </c>
      <c r="D362" s="41"/>
      <c r="E362" s="41"/>
      <c r="F362" s="37"/>
      <c r="G362" s="37"/>
      <c r="H362" s="37"/>
      <c r="I362" s="37"/>
      <c r="J362" s="37"/>
      <c r="K362" s="37"/>
      <c r="L362" s="30"/>
      <c r="M362" s="30"/>
      <c r="N362" s="3"/>
      <c r="O362" s="3"/>
      <c r="P362" s="5"/>
    </row>
    <row r="363" spans="1:16">
      <c r="A363" s="107"/>
      <c r="B363" s="108"/>
      <c r="C363" s="11" t="s">
        <v>18</v>
      </c>
      <c r="D363" s="31"/>
      <c r="E363" s="31"/>
      <c r="F363" s="31"/>
      <c r="G363" s="31"/>
      <c r="H363" s="31"/>
      <c r="I363" s="31"/>
      <c r="J363" s="31"/>
      <c r="K363" s="31"/>
      <c r="L363" s="31"/>
      <c r="M363" s="31"/>
      <c r="N363" s="6"/>
      <c r="O363" s="6"/>
      <c r="P363" s="6"/>
    </row>
    <row r="364" spans="1:16">
      <c r="A364" s="107"/>
      <c r="B364" s="108"/>
      <c r="C364" s="11" t="s">
        <v>19</v>
      </c>
      <c r="D364" s="32"/>
      <c r="E364" s="32"/>
      <c r="F364" s="32"/>
      <c r="G364" s="32"/>
      <c r="H364" s="32"/>
      <c r="I364" s="32"/>
      <c r="J364" s="32"/>
      <c r="K364" s="32"/>
      <c r="L364" s="32"/>
      <c r="M364" s="32"/>
      <c r="N364" s="8"/>
      <c r="O364" s="8"/>
      <c r="P364" s="8"/>
    </row>
    <row r="365" spans="1:16">
      <c r="A365" s="107"/>
      <c r="B365" s="108"/>
      <c r="C365" s="11" t="s">
        <v>20</v>
      </c>
      <c r="D365" s="32">
        <f t="shared" ref="D365:K365" si="126">D373+D381+D389</f>
        <v>1673.3</v>
      </c>
      <c r="E365" s="32">
        <f t="shared" si="126"/>
        <v>1659.9011</v>
      </c>
      <c r="F365" s="32">
        <f t="shared" si="126"/>
        <v>274.79046</v>
      </c>
      <c r="G365" s="32">
        <f t="shared" si="126"/>
        <v>273.75081</v>
      </c>
      <c r="H365" s="32">
        <f t="shared" si="126"/>
        <v>734.04831000000001</v>
      </c>
      <c r="I365" s="32">
        <f t="shared" si="126"/>
        <v>734.04745000000003</v>
      </c>
      <c r="J365" s="32">
        <f t="shared" si="126"/>
        <v>1157.3095699999999</v>
      </c>
      <c r="K365" s="32">
        <f t="shared" si="126"/>
        <v>1156.6877500000001</v>
      </c>
      <c r="L365" s="32">
        <f>L373+L381+L389</f>
        <v>1602.2250000000001</v>
      </c>
      <c r="M365" s="32">
        <f t="shared" ref="M365:O365" si="127">M373+M381+M389</f>
        <v>1596.79576</v>
      </c>
      <c r="N365" s="32">
        <f t="shared" si="127"/>
        <v>1714.1999999999998</v>
      </c>
      <c r="O365" s="32">
        <f t="shared" si="127"/>
        <v>1719.1999999999998</v>
      </c>
      <c r="P365" s="8"/>
    </row>
    <row r="366" spans="1:16">
      <c r="A366" s="107"/>
      <c r="B366" s="108"/>
      <c r="C366" s="11" t="s">
        <v>21</v>
      </c>
      <c r="D366" s="32"/>
      <c r="E366" s="32"/>
      <c r="F366" s="32"/>
      <c r="G366" s="32"/>
      <c r="H366" s="32"/>
      <c r="I366" s="32"/>
      <c r="J366" s="32"/>
      <c r="K366" s="32"/>
      <c r="L366" s="32"/>
      <c r="M366" s="32"/>
      <c r="N366" s="32"/>
      <c r="O366" s="32"/>
      <c r="P366" s="8"/>
    </row>
    <row r="367" spans="1:16">
      <c r="A367" s="107"/>
      <c r="B367" s="108"/>
      <c r="C367" s="11" t="s">
        <v>22</v>
      </c>
      <c r="D367" s="32"/>
      <c r="E367" s="32"/>
      <c r="F367" s="32"/>
      <c r="G367" s="32"/>
      <c r="H367" s="32"/>
      <c r="I367" s="32"/>
      <c r="J367" s="32"/>
      <c r="K367" s="32"/>
      <c r="L367" s="32"/>
      <c r="M367" s="32"/>
      <c r="N367" s="32"/>
      <c r="O367" s="32"/>
      <c r="P367" s="8"/>
    </row>
    <row r="368" spans="1:16">
      <c r="A368" s="107"/>
      <c r="B368" s="108"/>
      <c r="C368" s="11" t="s">
        <v>23</v>
      </c>
      <c r="D368" s="32"/>
      <c r="E368" s="32"/>
      <c r="F368" s="32"/>
      <c r="G368" s="32"/>
      <c r="H368" s="32"/>
      <c r="I368" s="32"/>
      <c r="J368" s="32"/>
      <c r="K368" s="32"/>
      <c r="L368" s="32"/>
      <c r="M368" s="32"/>
      <c r="N368" s="32"/>
      <c r="O368" s="32"/>
      <c r="P368" s="8"/>
    </row>
    <row r="369" spans="1:16" ht="16.5" customHeight="1">
      <c r="A369" s="109" t="s">
        <v>24</v>
      </c>
      <c r="B369" s="112" t="s">
        <v>40</v>
      </c>
      <c r="C369" s="11" t="s">
        <v>16</v>
      </c>
      <c r="D369" s="32">
        <f t="shared" ref="D369:E369" si="128">SUM(D371:D376)</f>
        <v>1282.2483</v>
      </c>
      <c r="E369" s="32">
        <f t="shared" si="128"/>
        <v>1282.2483</v>
      </c>
      <c r="F369" s="32">
        <f t="shared" ref="F369:K369" si="129">SUM(F371:F376)</f>
        <v>262.26646</v>
      </c>
      <c r="G369" s="32">
        <f t="shared" si="129"/>
        <v>262.26646</v>
      </c>
      <c r="H369" s="32">
        <f t="shared" si="129"/>
        <v>614.66777999999999</v>
      </c>
      <c r="I369" s="32">
        <f t="shared" si="129"/>
        <v>614.66709000000003</v>
      </c>
      <c r="J369" s="32">
        <f t="shared" si="129"/>
        <v>965.18912</v>
      </c>
      <c r="K369" s="32">
        <f t="shared" si="129"/>
        <v>965.18843000000004</v>
      </c>
      <c r="L369" s="32">
        <f>SUM(L371:L376)</f>
        <v>1364.2560000000001</v>
      </c>
      <c r="M369" s="32">
        <f>SUM(M371:M376)</f>
        <v>1364.2560000000001</v>
      </c>
      <c r="N369" s="32">
        <f t="shared" ref="N369:O369" si="130">SUM(N371:N376)</f>
        <v>1364.3</v>
      </c>
      <c r="O369" s="32">
        <f t="shared" si="130"/>
        <v>1364.3</v>
      </c>
      <c r="P369" s="8"/>
    </row>
    <row r="370" spans="1:16">
      <c r="A370" s="110"/>
      <c r="B370" s="113"/>
      <c r="C370" s="11" t="s">
        <v>17</v>
      </c>
      <c r="D370" s="32"/>
      <c r="E370" s="32"/>
      <c r="F370" s="32"/>
      <c r="G370" s="32"/>
      <c r="H370" s="32"/>
      <c r="I370" s="32"/>
      <c r="J370" s="32"/>
      <c r="K370" s="32"/>
      <c r="L370" s="32"/>
      <c r="M370" s="32"/>
      <c r="N370" s="32"/>
      <c r="O370" s="32"/>
      <c r="P370" s="8"/>
    </row>
    <row r="371" spans="1:16">
      <c r="A371" s="110"/>
      <c r="B371" s="113"/>
      <c r="C371" s="11" t="s">
        <v>18</v>
      </c>
      <c r="D371" s="32"/>
      <c r="E371" s="32"/>
      <c r="F371" s="32"/>
      <c r="G371" s="32"/>
      <c r="H371" s="32"/>
      <c r="I371" s="32"/>
      <c r="J371" s="32"/>
      <c r="K371" s="32"/>
      <c r="L371" s="32"/>
      <c r="M371" s="32"/>
      <c r="N371" s="32"/>
      <c r="O371" s="32"/>
      <c r="P371" s="8"/>
    </row>
    <row r="372" spans="1:16">
      <c r="A372" s="110"/>
      <c r="B372" s="113"/>
      <c r="C372" s="11" t="s">
        <v>19</v>
      </c>
      <c r="D372" s="32"/>
      <c r="E372" s="32"/>
      <c r="F372" s="32"/>
      <c r="G372" s="32"/>
      <c r="H372" s="32"/>
      <c r="I372" s="32"/>
      <c r="J372" s="32"/>
      <c r="K372" s="32"/>
      <c r="L372" s="32"/>
      <c r="M372" s="32"/>
      <c r="N372" s="32"/>
      <c r="O372" s="32"/>
      <c r="P372" s="8"/>
    </row>
    <row r="373" spans="1:16">
      <c r="A373" s="110"/>
      <c r="B373" s="113"/>
      <c r="C373" s="11" t="s">
        <v>20</v>
      </c>
      <c r="D373" s="32">
        <f>'приложение 9'!H360</f>
        <v>1282.2483</v>
      </c>
      <c r="E373" s="32">
        <f>'приложение 9'!I360</f>
        <v>1282.2483</v>
      </c>
      <c r="F373" s="32">
        <f>'приложение 9'!J360</f>
        <v>262.26646</v>
      </c>
      <c r="G373" s="32">
        <f>'приложение 9'!K360</f>
        <v>262.26646</v>
      </c>
      <c r="H373" s="32">
        <f>'приложение 9'!L360</f>
        <v>614.66777999999999</v>
      </c>
      <c r="I373" s="32">
        <f>'приложение 9'!M360</f>
        <v>614.66709000000003</v>
      </c>
      <c r="J373" s="32">
        <f>'приложение 9'!N360</f>
        <v>965.18912</v>
      </c>
      <c r="K373" s="32">
        <f>'приложение 9'!O360</f>
        <v>965.18843000000004</v>
      </c>
      <c r="L373" s="32">
        <f>'приложение 9'!P360</f>
        <v>1364.2560000000001</v>
      </c>
      <c r="M373" s="32">
        <f>'приложение 9'!Q360</f>
        <v>1364.2560000000001</v>
      </c>
      <c r="N373" s="32">
        <f>'приложение 9'!R360</f>
        <v>1364.3</v>
      </c>
      <c r="O373" s="32">
        <f>'приложение 9'!S360</f>
        <v>1364.3</v>
      </c>
      <c r="P373" s="8"/>
    </row>
    <row r="374" spans="1:16">
      <c r="A374" s="110"/>
      <c r="B374" s="113"/>
      <c r="C374" s="11" t="s">
        <v>21</v>
      </c>
      <c r="D374" s="32"/>
      <c r="E374" s="32"/>
      <c r="F374" s="32"/>
      <c r="G374" s="32"/>
      <c r="H374" s="32"/>
      <c r="I374" s="32"/>
      <c r="J374" s="32"/>
      <c r="K374" s="32"/>
      <c r="L374" s="32"/>
      <c r="M374" s="32"/>
      <c r="N374" s="32"/>
      <c r="O374" s="32"/>
      <c r="P374" s="8"/>
    </row>
    <row r="375" spans="1:16">
      <c r="A375" s="110"/>
      <c r="B375" s="113"/>
      <c r="C375" s="11" t="s">
        <v>22</v>
      </c>
      <c r="D375" s="32"/>
      <c r="E375" s="32"/>
      <c r="F375" s="32"/>
      <c r="G375" s="32"/>
      <c r="H375" s="32"/>
      <c r="I375" s="32"/>
      <c r="J375" s="32"/>
      <c r="K375" s="32"/>
      <c r="L375" s="32"/>
      <c r="M375" s="32"/>
      <c r="N375" s="32"/>
      <c r="O375" s="32"/>
      <c r="P375" s="8"/>
    </row>
    <row r="376" spans="1:16">
      <c r="A376" s="111"/>
      <c r="B376" s="114"/>
      <c r="C376" s="11" t="s">
        <v>23</v>
      </c>
      <c r="D376" s="32"/>
      <c r="E376" s="32"/>
      <c r="F376" s="32"/>
      <c r="G376" s="32"/>
      <c r="H376" s="32"/>
      <c r="I376" s="32"/>
      <c r="J376" s="32"/>
      <c r="K376" s="32"/>
      <c r="L376" s="32"/>
      <c r="M376" s="32"/>
      <c r="N376" s="32"/>
      <c r="O376" s="32"/>
      <c r="P376" s="8"/>
    </row>
    <row r="377" spans="1:16" ht="14.25" customHeight="1">
      <c r="A377" s="109" t="s">
        <v>31</v>
      </c>
      <c r="B377" s="112" t="s">
        <v>40</v>
      </c>
      <c r="C377" s="11" t="s">
        <v>16</v>
      </c>
      <c r="D377" s="32">
        <f t="shared" ref="D377:E377" si="131">SUM(D379:D384)</f>
        <v>391.05169999999998</v>
      </c>
      <c r="E377" s="32">
        <f t="shared" si="131"/>
        <v>377.65280000000001</v>
      </c>
      <c r="F377" s="32">
        <f t="shared" ref="F377:K377" si="132">SUM(F379:F384)</f>
        <v>12.523999999999999</v>
      </c>
      <c r="G377" s="32">
        <f t="shared" si="132"/>
        <v>11.484349999999999</v>
      </c>
      <c r="H377" s="32">
        <f t="shared" si="132"/>
        <v>109.38052999999999</v>
      </c>
      <c r="I377" s="32">
        <f t="shared" si="132"/>
        <v>109.38036</v>
      </c>
      <c r="J377" s="32">
        <f t="shared" si="132"/>
        <v>177.12045000000001</v>
      </c>
      <c r="K377" s="32">
        <f t="shared" si="132"/>
        <v>176.49932000000001</v>
      </c>
      <c r="L377" s="32">
        <f>SUM(L379:L384)</f>
        <v>222.96899999999999</v>
      </c>
      <c r="M377" s="32">
        <f>SUM(M379:M384)</f>
        <v>217.53976</v>
      </c>
      <c r="N377" s="32">
        <f t="shared" ref="N377:O377" si="133">SUM(N379:N384)</f>
        <v>334.9</v>
      </c>
      <c r="O377" s="32">
        <f t="shared" si="133"/>
        <v>334.9</v>
      </c>
      <c r="P377" s="8"/>
    </row>
    <row r="378" spans="1:16">
      <c r="A378" s="110"/>
      <c r="B378" s="113"/>
      <c r="C378" s="11" t="s">
        <v>17</v>
      </c>
      <c r="D378" s="32"/>
      <c r="E378" s="32"/>
      <c r="F378" s="32"/>
      <c r="G378" s="32"/>
      <c r="H378" s="32"/>
      <c r="I378" s="32"/>
      <c r="J378" s="32"/>
      <c r="K378" s="32"/>
      <c r="L378" s="32"/>
      <c r="M378" s="32"/>
      <c r="N378" s="32"/>
      <c r="O378" s="32"/>
      <c r="P378" s="8"/>
    </row>
    <row r="379" spans="1:16">
      <c r="A379" s="110"/>
      <c r="B379" s="113"/>
      <c r="C379" s="11" t="s">
        <v>18</v>
      </c>
      <c r="D379" s="32"/>
      <c r="E379" s="32"/>
      <c r="F379" s="32"/>
      <c r="G379" s="32"/>
      <c r="H379" s="32"/>
      <c r="I379" s="32"/>
      <c r="J379" s="32"/>
      <c r="K379" s="32"/>
      <c r="L379" s="32"/>
      <c r="M379" s="32"/>
      <c r="N379" s="32"/>
      <c r="O379" s="32"/>
      <c r="P379" s="8"/>
    </row>
    <row r="380" spans="1:16">
      <c r="A380" s="110"/>
      <c r="B380" s="113"/>
      <c r="C380" s="11" t="s">
        <v>19</v>
      </c>
      <c r="D380" s="32"/>
      <c r="E380" s="32"/>
      <c r="F380" s="32"/>
      <c r="G380" s="32"/>
      <c r="H380" s="32"/>
      <c r="I380" s="32"/>
      <c r="J380" s="32"/>
      <c r="K380" s="32"/>
      <c r="L380" s="32"/>
      <c r="M380" s="32"/>
      <c r="N380" s="32"/>
      <c r="O380" s="32"/>
      <c r="P380" s="8"/>
    </row>
    <row r="381" spans="1:16">
      <c r="A381" s="110"/>
      <c r="B381" s="113"/>
      <c r="C381" s="11" t="s">
        <v>20</v>
      </c>
      <c r="D381" s="32">
        <f>'приложение 9'!H362</f>
        <v>391.05169999999998</v>
      </c>
      <c r="E381" s="32">
        <f>'приложение 9'!I362</f>
        <v>377.65280000000001</v>
      </c>
      <c r="F381" s="32">
        <f>'приложение 9'!J362</f>
        <v>12.523999999999999</v>
      </c>
      <c r="G381" s="32">
        <f>'приложение 9'!K362</f>
        <v>11.484349999999999</v>
      </c>
      <c r="H381" s="32">
        <f>'приложение 9'!L362</f>
        <v>109.38052999999999</v>
      </c>
      <c r="I381" s="32">
        <f>'приложение 9'!M362</f>
        <v>109.38036</v>
      </c>
      <c r="J381" s="32">
        <f>'приложение 9'!N362</f>
        <v>177.12045000000001</v>
      </c>
      <c r="K381" s="32">
        <f>'приложение 9'!O362</f>
        <v>176.49932000000001</v>
      </c>
      <c r="L381" s="32">
        <f>'приложение 9'!P362</f>
        <v>222.96899999999999</v>
      </c>
      <c r="M381" s="32">
        <f>'приложение 9'!Q362</f>
        <v>217.53976</v>
      </c>
      <c r="N381" s="32">
        <f>'приложение 9'!R362</f>
        <v>334.9</v>
      </c>
      <c r="O381" s="32">
        <f>'приложение 9'!S362</f>
        <v>334.9</v>
      </c>
      <c r="P381" s="8"/>
    </row>
    <row r="382" spans="1:16">
      <c r="A382" s="110"/>
      <c r="B382" s="113"/>
      <c r="C382" s="11" t="s">
        <v>21</v>
      </c>
      <c r="D382" s="32"/>
      <c r="E382" s="32"/>
      <c r="F382" s="32"/>
      <c r="G382" s="32"/>
      <c r="H382" s="32"/>
      <c r="I382" s="32"/>
      <c r="J382" s="32"/>
      <c r="K382" s="32"/>
      <c r="L382" s="32"/>
      <c r="M382" s="32"/>
      <c r="N382" s="8"/>
      <c r="O382" s="8"/>
      <c r="P382" s="8"/>
    </row>
    <row r="383" spans="1:16">
      <c r="A383" s="110"/>
      <c r="B383" s="113"/>
      <c r="C383" s="11" t="s">
        <v>22</v>
      </c>
      <c r="D383" s="32"/>
      <c r="E383" s="32"/>
      <c r="F383" s="32"/>
      <c r="G383" s="32"/>
      <c r="H383" s="32"/>
      <c r="I383" s="32"/>
      <c r="J383" s="32"/>
      <c r="K383" s="32"/>
      <c r="L383" s="32"/>
      <c r="M383" s="32"/>
      <c r="N383" s="8"/>
      <c r="O383" s="8"/>
      <c r="P383" s="8"/>
    </row>
    <row r="384" spans="1:16">
      <c r="A384" s="111"/>
      <c r="B384" s="114"/>
      <c r="C384" s="11" t="s">
        <v>23</v>
      </c>
      <c r="D384" s="32"/>
      <c r="E384" s="32"/>
      <c r="F384" s="32"/>
      <c r="G384" s="32"/>
      <c r="H384" s="32"/>
      <c r="I384" s="32"/>
      <c r="J384" s="32"/>
      <c r="K384" s="32"/>
      <c r="L384" s="32"/>
      <c r="M384" s="32"/>
      <c r="N384" s="8"/>
      <c r="O384" s="8"/>
      <c r="P384" s="8"/>
    </row>
    <row r="385" spans="1:16" ht="14.25" customHeight="1">
      <c r="A385" s="109" t="s">
        <v>717</v>
      </c>
      <c r="B385" s="112" t="s">
        <v>718</v>
      </c>
      <c r="C385" s="68" t="s">
        <v>16</v>
      </c>
      <c r="D385" s="32">
        <f t="shared" ref="D385:K385" si="134">SUM(D387:D392)</f>
        <v>0</v>
      </c>
      <c r="E385" s="32">
        <f t="shared" si="134"/>
        <v>0</v>
      </c>
      <c r="F385" s="32">
        <f t="shared" si="134"/>
        <v>0</v>
      </c>
      <c r="G385" s="32">
        <f t="shared" si="134"/>
        <v>0</v>
      </c>
      <c r="H385" s="32">
        <f t="shared" si="134"/>
        <v>10</v>
      </c>
      <c r="I385" s="32">
        <f t="shared" si="134"/>
        <v>10</v>
      </c>
      <c r="J385" s="32">
        <f t="shared" si="134"/>
        <v>15</v>
      </c>
      <c r="K385" s="32">
        <f t="shared" si="134"/>
        <v>15</v>
      </c>
      <c r="L385" s="32">
        <f>SUM(L387:L392)</f>
        <v>15</v>
      </c>
      <c r="M385" s="32">
        <f>SUM(M387:M392)</f>
        <v>15</v>
      </c>
      <c r="N385" s="32">
        <f t="shared" ref="N385:O385" si="135">SUM(N387:N392)</f>
        <v>15</v>
      </c>
      <c r="O385" s="32">
        <f t="shared" si="135"/>
        <v>20</v>
      </c>
      <c r="P385" s="8"/>
    </row>
    <row r="386" spans="1:16">
      <c r="A386" s="110"/>
      <c r="B386" s="113"/>
      <c r="C386" s="68" t="s">
        <v>17</v>
      </c>
      <c r="D386" s="32"/>
      <c r="E386" s="32"/>
      <c r="F386" s="32"/>
      <c r="G386" s="32"/>
      <c r="H386" s="32"/>
      <c r="I386" s="32"/>
      <c r="J386" s="32"/>
      <c r="K386" s="32"/>
      <c r="L386" s="32"/>
      <c r="M386" s="32"/>
      <c r="N386" s="32"/>
      <c r="O386" s="32"/>
      <c r="P386" s="8"/>
    </row>
    <row r="387" spans="1:16">
      <c r="A387" s="110"/>
      <c r="B387" s="113"/>
      <c r="C387" s="68" t="s">
        <v>18</v>
      </c>
      <c r="D387" s="32"/>
      <c r="E387" s="32"/>
      <c r="F387" s="32"/>
      <c r="G387" s="32"/>
      <c r="H387" s="32"/>
      <c r="I387" s="32"/>
      <c r="J387" s="32"/>
      <c r="K387" s="32"/>
      <c r="L387" s="32"/>
      <c r="M387" s="32"/>
      <c r="N387" s="32"/>
      <c r="O387" s="32"/>
      <c r="P387" s="8"/>
    </row>
    <row r="388" spans="1:16">
      <c r="A388" s="110"/>
      <c r="B388" s="113"/>
      <c r="C388" s="68" t="s">
        <v>19</v>
      </c>
      <c r="D388" s="32"/>
      <c r="E388" s="32"/>
      <c r="F388" s="32"/>
      <c r="G388" s="32"/>
      <c r="H388" s="32"/>
      <c r="I388" s="32"/>
      <c r="J388" s="32"/>
      <c r="K388" s="32"/>
      <c r="L388" s="32"/>
      <c r="M388" s="32"/>
      <c r="N388" s="32"/>
      <c r="O388" s="32"/>
      <c r="P388" s="8"/>
    </row>
    <row r="389" spans="1:16">
      <c r="A389" s="110"/>
      <c r="B389" s="113"/>
      <c r="C389" s="68" t="s">
        <v>20</v>
      </c>
      <c r="D389" s="32">
        <f>'приложение 9'!H364</f>
        <v>0</v>
      </c>
      <c r="E389" s="32">
        <f>'приложение 9'!I364</f>
        <v>0</v>
      </c>
      <c r="F389" s="32">
        <f>'приложение 9'!J364</f>
        <v>0</v>
      </c>
      <c r="G389" s="32">
        <f>'приложение 9'!K364</f>
        <v>0</v>
      </c>
      <c r="H389" s="32">
        <f>'приложение 9'!L364</f>
        <v>10</v>
      </c>
      <c r="I389" s="32">
        <f>'приложение 9'!M364</f>
        <v>10</v>
      </c>
      <c r="J389" s="32">
        <f>'приложение 9'!N364</f>
        <v>15</v>
      </c>
      <c r="K389" s="32">
        <f>'приложение 9'!O364</f>
        <v>15</v>
      </c>
      <c r="L389" s="32">
        <f>'приложение 9'!P364</f>
        <v>15</v>
      </c>
      <c r="M389" s="32">
        <f>'приложение 9'!Q364</f>
        <v>15</v>
      </c>
      <c r="N389" s="32">
        <f>'приложение 9'!R364</f>
        <v>15</v>
      </c>
      <c r="O389" s="32">
        <f>'приложение 9'!S364</f>
        <v>20</v>
      </c>
      <c r="P389" s="8"/>
    </row>
    <row r="390" spans="1:16">
      <c r="A390" s="110"/>
      <c r="B390" s="113"/>
      <c r="C390" s="68" t="s">
        <v>21</v>
      </c>
      <c r="D390" s="32"/>
      <c r="E390" s="32"/>
      <c r="F390" s="32"/>
      <c r="G390" s="32"/>
      <c r="H390" s="32"/>
      <c r="I390" s="32"/>
      <c r="J390" s="32"/>
      <c r="K390" s="32"/>
      <c r="L390" s="32"/>
      <c r="M390" s="32"/>
      <c r="N390" s="8"/>
      <c r="O390" s="8"/>
      <c r="P390" s="8"/>
    </row>
    <row r="391" spans="1:16">
      <c r="A391" s="110"/>
      <c r="B391" s="113"/>
      <c r="C391" s="68" t="s">
        <v>22</v>
      </c>
      <c r="D391" s="32"/>
      <c r="E391" s="32"/>
      <c r="F391" s="32"/>
      <c r="G391" s="32"/>
      <c r="H391" s="32"/>
      <c r="I391" s="32"/>
      <c r="J391" s="32"/>
      <c r="K391" s="32"/>
      <c r="L391" s="32"/>
      <c r="M391" s="32"/>
      <c r="N391" s="8"/>
      <c r="O391" s="8"/>
      <c r="P391" s="8"/>
    </row>
    <row r="392" spans="1:16">
      <c r="A392" s="111"/>
      <c r="B392" s="114"/>
      <c r="C392" s="68" t="s">
        <v>23</v>
      </c>
      <c r="D392" s="32"/>
      <c r="E392" s="32"/>
      <c r="F392" s="32"/>
      <c r="G392" s="32"/>
      <c r="H392" s="32"/>
      <c r="I392" s="32"/>
      <c r="J392" s="32"/>
      <c r="K392" s="32"/>
      <c r="L392" s="32"/>
      <c r="M392" s="32"/>
      <c r="N392" s="8"/>
      <c r="O392" s="8"/>
      <c r="P392" s="8"/>
    </row>
    <row r="393" spans="1:16" ht="13.5" customHeight="1">
      <c r="A393" s="107" t="s">
        <v>15</v>
      </c>
      <c r="B393" s="108" t="s">
        <v>548</v>
      </c>
      <c r="C393" s="11" t="s">
        <v>16</v>
      </c>
      <c r="D393" s="39">
        <f>SUM(D395:D400)</f>
        <v>3701.8591799999995</v>
      </c>
      <c r="E393" s="39">
        <f t="shared" ref="E393" si="136">SUM(E395:E400)</f>
        <v>3696.1704799999993</v>
      </c>
      <c r="F393" s="36">
        <f t="shared" ref="F393:K393" si="137">SUM(F395:F400)</f>
        <v>659.94299999999998</v>
      </c>
      <c r="G393" s="36">
        <f t="shared" si="137"/>
        <v>575.18961000000002</v>
      </c>
      <c r="H393" s="36">
        <f t="shared" si="137"/>
        <v>1579.5058800000002</v>
      </c>
      <c r="I393" s="36">
        <f t="shared" si="137"/>
        <v>1446.2834500000001</v>
      </c>
      <c r="J393" s="36">
        <f t="shared" si="137"/>
        <v>2608.3405400000001</v>
      </c>
      <c r="K393" s="36">
        <f t="shared" si="137"/>
        <v>2523.3213799999999</v>
      </c>
      <c r="L393" s="36">
        <f>SUM(L395:L400)</f>
        <v>10949.120960000002</v>
      </c>
      <c r="M393" s="36">
        <f>SUM(M395:M400)</f>
        <v>9963.8371999999999</v>
      </c>
      <c r="N393" s="36">
        <f t="shared" ref="N393:O393" si="138">SUM(N395:N400)</f>
        <v>3537.7000000000003</v>
      </c>
      <c r="O393" s="36">
        <f t="shared" si="138"/>
        <v>3526.6</v>
      </c>
      <c r="P393" s="5"/>
    </row>
    <row r="394" spans="1:16">
      <c r="A394" s="107"/>
      <c r="B394" s="108"/>
      <c r="C394" s="11" t="s">
        <v>17</v>
      </c>
      <c r="D394" s="41"/>
      <c r="E394" s="41"/>
      <c r="F394" s="37"/>
      <c r="G394" s="37"/>
      <c r="H394" s="37"/>
      <c r="I394" s="37"/>
      <c r="J394" s="37"/>
      <c r="K394" s="37"/>
      <c r="L394" s="30"/>
      <c r="M394" s="30"/>
      <c r="N394" s="3"/>
      <c r="O394" s="3"/>
      <c r="P394" s="5"/>
    </row>
    <row r="395" spans="1:16">
      <c r="A395" s="107"/>
      <c r="B395" s="108"/>
      <c r="C395" s="11" t="s">
        <v>18</v>
      </c>
      <c r="D395" s="33">
        <f>D403+D411+D419+D427+D435+D443+D451+D459+D467+D475+D483+D491+D499</f>
        <v>365.91500000000002</v>
      </c>
      <c r="E395" s="33">
        <f t="shared" ref="E395:O395" si="139">E403+E411+E419+E427+E435+E443+E451+E459+E467+E475+E483+E491+E499</f>
        <v>365.91500000000002</v>
      </c>
      <c r="F395" s="33">
        <f t="shared" si="139"/>
        <v>0</v>
      </c>
      <c r="G395" s="33">
        <f t="shared" si="139"/>
        <v>0</v>
      </c>
      <c r="H395" s="33">
        <f t="shared" si="139"/>
        <v>119.2</v>
      </c>
      <c r="I395" s="33">
        <f t="shared" si="139"/>
        <v>105.31873</v>
      </c>
      <c r="J395" s="33">
        <f t="shared" si="139"/>
        <v>166</v>
      </c>
      <c r="K395" s="33">
        <f t="shared" si="139"/>
        <v>165.00570999999999</v>
      </c>
      <c r="L395" s="33">
        <f>L403+L411+L419+L427+L435+L443+L451+L459+L467+L475+L483+L491+L499</f>
        <v>2167.3917000000001</v>
      </c>
      <c r="M395" s="33">
        <f t="shared" si="139"/>
        <v>1931.27865</v>
      </c>
      <c r="N395" s="33">
        <f t="shared" si="139"/>
        <v>0</v>
      </c>
      <c r="O395" s="33">
        <f t="shared" si="139"/>
        <v>0</v>
      </c>
      <c r="P395" s="6"/>
    </row>
    <row r="396" spans="1:16">
      <c r="A396" s="107"/>
      <c r="B396" s="108"/>
      <c r="C396" s="11" t="s">
        <v>19</v>
      </c>
      <c r="D396" s="33">
        <f t="shared" ref="D396:O397" si="140">D404+D412+D420+D428+D436+D444+D452+D460+D468+D476+D484+D492+D500</f>
        <v>3134.8441799999996</v>
      </c>
      <c r="E396" s="33">
        <f t="shared" si="140"/>
        <v>3129.2272999999996</v>
      </c>
      <c r="F396" s="33">
        <f t="shared" si="140"/>
        <v>659.94299999999998</v>
      </c>
      <c r="G396" s="33">
        <f t="shared" si="140"/>
        <v>575.18961000000002</v>
      </c>
      <c r="H396" s="33">
        <f t="shared" si="140"/>
        <v>1460.3058800000001</v>
      </c>
      <c r="I396" s="33">
        <f t="shared" si="140"/>
        <v>1340.9647200000002</v>
      </c>
      <c r="J396" s="33">
        <f t="shared" si="140"/>
        <v>2426.9186400000003</v>
      </c>
      <c r="K396" s="33">
        <f t="shared" si="140"/>
        <v>2345.92823</v>
      </c>
      <c r="L396" s="33">
        <f t="shared" si="140"/>
        <v>7818.9785000000002</v>
      </c>
      <c r="M396" s="33">
        <f t="shared" si="140"/>
        <v>7159.4584500000001</v>
      </c>
      <c r="N396" s="33">
        <f t="shared" si="140"/>
        <v>3336.3</v>
      </c>
      <c r="O396" s="33">
        <f t="shared" si="140"/>
        <v>3325.2</v>
      </c>
      <c r="P396" s="8"/>
    </row>
    <row r="397" spans="1:16">
      <c r="A397" s="107"/>
      <c r="B397" s="108"/>
      <c r="C397" s="11" t="s">
        <v>20</v>
      </c>
      <c r="D397" s="33">
        <f t="shared" si="140"/>
        <v>201.1</v>
      </c>
      <c r="E397" s="33">
        <f t="shared" si="140"/>
        <v>201.02817999999999</v>
      </c>
      <c r="F397" s="33">
        <f t="shared" si="140"/>
        <v>0</v>
      </c>
      <c r="G397" s="33">
        <f t="shared" si="140"/>
        <v>0</v>
      </c>
      <c r="H397" s="33">
        <f t="shared" si="140"/>
        <v>0</v>
      </c>
      <c r="I397" s="33">
        <f t="shared" si="140"/>
        <v>0</v>
      </c>
      <c r="J397" s="33">
        <f t="shared" si="140"/>
        <v>15.421899999999999</v>
      </c>
      <c r="K397" s="33">
        <f t="shared" si="140"/>
        <v>12.38744</v>
      </c>
      <c r="L397" s="33">
        <f t="shared" si="140"/>
        <v>962.75076000000001</v>
      </c>
      <c r="M397" s="33">
        <f t="shared" si="140"/>
        <v>873.1001</v>
      </c>
      <c r="N397" s="33">
        <f t="shared" si="140"/>
        <v>201.4</v>
      </c>
      <c r="O397" s="33">
        <f t="shared" si="140"/>
        <v>201.4</v>
      </c>
      <c r="P397" s="8"/>
    </row>
    <row r="398" spans="1:16">
      <c r="A398" s="107"/>
      <c r="B398" s="108"/>
      <c r="C398" s="11" t="s">
        <v>21</v>
      </c>
      <c r="D398" s="32"/>
      <c r="E398" s="32"/>
      <c r="F398" s="32"/>
      <c r="G398" s="32"/>
      <c r="H398" s="32"/>
      <c r="I398" s="32"/>
      <c r="J398" s="32"/>
      <c r="K398" s="32"/>
      <c r="L398" s="32"/>
      <c r="M398" s="32"/>
      <c r="N398" s="32"/>
      <c r="O398" s="32"/>
      <c r="P398" s="8"/>
    </row>
    <row r="399" spans="1:16">
      <c r="A399" s="107"/>
      <c r="B399" s="108"/>
      <c r="C399" s="11" t="s">
        <v>22</v>
      </c>
      <c r="D399" s="32"/>
      <c r="E399" s="32"/>
      <c r="F399" s="32"/>
      <c r="G399" s="32"/>
      <c r="H399" s="32"/>
      <c r="I399" s="32"/>
      <c r="J399" s="32"/>
      <c r="K399" s="32"/>
      <c r="L399" s="32"/>
      <c r="M399" s="32"/>
      <c r="N399" s="32"/>
      <c r="O399" s="32"/>
      <c r="P399" s="8"/>
    </row>
    <row r="400" spans="1:16">
      <c r="A400" s="107"/>
      <c r="B400" s="108"/>
      <c r="C400" s="11" t="s">
        <v>23</v>
      </c>
      <c r="D400" s="32"/>
      <c r="E400" s="32"/>
      <c r="F400" s="32"/>
      <c r="G400" s="32"/>
      <c r="H400" s="32"/>
      <c r="I400" s="32"/>
      <c r="J400" s="32"/>
      <c r="K400" s="32"/>
      <c r="L400" s="32"/>
      <c r="M400" s="32"/>
      <c r="N400" s="32"/>
      <c r="O400" s="32"/>
      <c r="P400" s="8"/>
    </row>
    <row r="401" spans="1:16" ht="16.5" customHeight="1">
      <c r="A401" s="109" t="s">
        <v>24</v>
      </c>
      <c r="B401" s="112" t="s">
        <v>421</v>
      </c>
      <c r="C401" s="11" t="s">
        <v>16</v>
      </c>
      <c r="D401" s="32">
        <f t="shared" ref="D401:E401" si="141">SUM(D403:D408)</f>
        <v>57.3</v>
      </c>
      <c r="E401" s="32">
        <f t="shared" si="141"/>
        <v>57.3</v>
      </c>
      <c r="F401" s="32">
        <f t="shared" ref="F401:K401" si="142">SUM(F403:F408)</f>
        <v>14.042999999999999</v>
      </c>
      <c r="G401" s="32">
        <f t="shared" si="142"/>
        <v>14.0238</v>
      </c>
      <c r="H401" s="32">
        <f t="shared" si="142"/>
        <v>27.343</v>
      </c>
      <c r="I401" s="32">
        <f t="shared" si="142"/>
        <v>24.392890000000001</v>
      </c>
      <c r="J401" s="32">
        <f t="shared" si="142"/>
        <v>39.186</v>
      </c>
      <c r="K401" s="32">
        <f t="shared" si="142"/>
        <v>37.051949999999998</v>
      </c>
      <c r="L401" s="32">
        <f>SUM(L403:L408)</f>
        <v>64</v>
      </c>
      <c r="M401" s="32">
        <f>SUM(M403:M408)</f>
        <v>64</v>
      </c>
      <c r="N401" s="32">
        <f t="shared" ref="N401:O401" si="143">SUM(N403:N408)</f>
        <v>26.1</v>
      </c>
      <c r="O401" s="32">
        <f t="shared" si="143"/>
        <v>15</v>
      </c>
      <c r="P401" s="8"/>
    </row>
    <row r="402" spans="1:16">
      <c r="A402" s="110"/>
      <c r="B402" s="113"/>
      <c r="C402" s="11" t="s">
        <v>17</v>
      </c>
      <c r="D402" s="32"/>
      <c r="E402" s="32"/>
      <c r="F402" s="32"/>
      <c r="G402" s="32"/>
      <c r="H402" s="32"/>
      <c r="I402" s="32"/>
      <c r="J402" s="32"/>
      <c r="K402" s="32"/>
      <c r="L402" s="32"/>
      <c r="M402" s="32"/>
      <c r="N402" s="32"/>
      <c r="O402" s="32"/>
      <c r="P402" s="8"/>
    </row>
    <row r="403" spans="1:16">
      <c r="A403" s="110"/>
      <c r="B403" s="113"/>
      <c r="C403" s="11" t="s">
        <v>18</v>
      </c>
      <c r="D403" s="32"/>
      <c r="E403" s="32"/>
      <c r="F403" s="32"/>
      <c r="G403" s="32"/>
      <c r="H403" s="32"/>
      <c r="I403" s="32"/>
      <c r="J403" s="32"/>
      <c r="K403" s="32"/>
      <c r="L403" s="32"/>
      <c r="M403" s="32"/>
      <c r="N403" s="32"/>
      <c r="O403" s="32"/>
      <c r="P403" s="8"/>
    </row>
    <row r="404" spans="1:16">
      <c r="A404" s="110"/>
      <c r="B404" s="113"/>
      <c r="C404" s="11" t="s">
        <v>19</v>
      </c>
      <c r="D404" s="32">
        <f>'приложение 9'!H369</f>
        <v>57.3</v>
      </c>
      <c r="E404" s="32">
        <f>'приложение 9'!I369</f>
        <v>57.3</v>
      </c>
      <c r="F404" s="32">
        <f>'приложение 9'!J369</f>
        <v>14.042999999999999</v>
      </c>
      <c r="G404" s="32">
        <f>'приложение 9'!K369</f>
        <v>14.0238</v>
      </c>
      <c r="H404" s="32">
        <f>'приложение 9'!L369</f>
        <v>27.343</v>
      </c>
      <c r="I404" s="32">
        <f>'приложение 9'!M369</f>
        <v>24.392890000000001</v>
      </c>
      <c r="J404" s="32">
        <f>'приложение 9'!N369</f>
        <v>39.186</v>
      </c>
      <c r="K404" s="32">
        <f>'приложение 9'!O369</f>
        <v>37.051949999999998</v>
      </c>
      <c r="L404" s="32">
        <f>'приложение 9'!P369</f>
        <v>64</v>
      </c>
      <c r="M404" s="32">
        <f>'приложение 9'!Q369</f>
        <v>64</v>
      </c>
      <c r="N404" s="32">
        <f>'приложение 9'!R369</f>
        <v>26.1</v>
      </c>
      <c r="O404" s="32">
        <f>'приложение 9'!S369</f>
        <v>15</v>
      </c>
      <c r="P404" s="8"/>
    </row>
    <row r="405" spans="1:16">
      <c r="A405" s="110"/>
      <c r="B405" s="113"/>
      <c r="C405" s="11" t="s">
        <v>20</v>
      </c>
      <c r="D405" s="32"/>
      <c r="E405" s="32"/>
      <c r="F405" s="32"/>
      <c r="G405" s="32"/>
      <c r="H405" s="32"/>
      <c r="I405" s="32"/>
      <c r="J405" s="32"/>
      <c r="K405" s="32"/>
      <c r="L405" s="32"/>
      <c r="M405" s="32"/>
      <c r="N405" s="32"/>
      <c r="O405" s="32"/>
      <c r="P405" s="8"/>
    </row>
    <row r="406" spans="1:16">
      <c r="A406" s="110"/>
      <c r="B406" s="113"/>
      <c r="C406" s="11" t="s">
        <v>21</v>
      </c>
      <c r="D406" s="32"/>
      <c r="E406" s="32"/>
      <c r="F406" s="32"/>
      <c r="G406" s="32"/>
      <c r="H406" s="32"/>
      <c r="I406" s="32"/>
      <c r="J406" s="32"/>
      <c r="K406" s="32"/>
      <c r="L406" s="32"/>
      <c r="M406" s="32"/>
      <c r="N406" s="32"/>
      <c r="O406" s="32"/>
      <c r="P406" s="8"/>
    </row>
    <row r="407" spans="1:16">
      <c r="A407" s="110"/>
      <c r="B407" s="113"/>
      <c r="C407" s="11" t="s">
        <v>22</v>
      </c>
      <c r="D407" s="32"/>
      <c r="E407" s="32"/>
      <c r="F407" s="32"/>
      <c r="G407" s="32"/>
      <c r="H407" s="32"/>
      <c r="I407" s="32"/>
      <c r="J407" s="32"/>
      <c r="K407" s="32"/>
      <c r="L407" s="32"/>
      <c r="M407" s="32"/>
      <c r="N407" s="32"/>
      <c r="O407" s="32"/>
      <c r="P407" s="8"/>
    </row>
    <row r="408" spans="1:16" ht="20.25" customHeight="1">
      <c r="A408" s="111"/>
      <c r="B408" s="114"/>
      <c r="C408" s="11" t="s">
        <v>23</v>
      </c>
      <c r="D408" s="7"/>
      <c r="E408" s="7"/>
      <c r="F408" s="7"/>
      <c r="G408" s="7"/>
      <c r="H408" s="7"/>
      <c r="I408" s="7"/>
      <c r="J408" s="7"/>
      <c r="K408" s="7"/>
      <c r="L408" s="32"/>
      <c r="M408" s="32"/>
      <c r="N408" s="32"/>
      <c r="O408" s="32"/>
      <c r="P408" s="8"/>
    </row>
    <row r="409" spans="1:16" ht="16.5" customHeight="1">
      <c r="A409" s="109" t="s">
        <v>31</v>
      </c>
      <c r="B409" s="112" t="s">
        <v>674</v>
      </c>
      <c r="C409" s="68" t="s">
        <v>16</v>
      </c>
      <c r="D409" s="32">
        <f t="shared" ref="D409:E409" si="144">SUM(D411:D416)</f>
        <v>0</v>
      </c>
      <c r="E409" s="32">
        <f t="shared" si="144"/>
        <v>0</v>
      </c>
      <c r="F409" s="32">
        <f t="shared" ref="F409:K409" si="145">SUM(F411:F416)</f>
        <v>0</v>
      </c>
      <c r="G409" s="32">
        <f>SUM(G411:G416)</f>
        <v>0</v>
      </c>
      <c r="H409" s="32">
        <f t="shared" si="145"/>
        <v>0</v>
      </c>
      <c r="I409" s="32">
        <f t="shared" si="145"/>
        <v>0</v>
      </c>
      <c r="J409" s="32">
        <f t="shared" si="145"/>
        <v>0</v>
      </c>
      <c r="K409" s="32">
        <f t="shared" si="145"/>
        <v>0</v>
      </c>
      <c r="L409" s="32">
        <f>SUM(L411:L416)</f>
        <v>1922.0916999999999</v>
      </c>
      <c r="M409" s="32">
        <f>SUM(M411:M416)</f>
        <v>1685.97865</v>
      </c>
      <c r="N409" s="32">
        <f t="shared" ref="N409:O409" si="146">SUM(N411:N416)</f>
        <v>0</v>
      </c>
      <c r="O409" s="32">
        <f t="shared" si="146"/>
        <v>0</v>
      </c>
      <c r="P409" s="8"/>
    </row>
    <row r="410" spans="1:16">
      <c r="A410" s="110"/>
      <c r="B410" s="113"/>
      <c r="C410" s="68" t="s">
        <v>17</v>
      </c>
      <c r="D410" s="32"/>
      <c r="E410" s="32"/>
      <c r="F410" s="32"/>
      <c r="G410" s="32"/>
      <c r="H410" s="32"/>
      <c r="I410" s="32"/>
      <c r="J410" s="32"/>
      <c r="K410" s="32"/>
      <c r="L410" s="32"/>
      <c r="M410" s="32"/>
      <c r="N410" s="32"/>
      <c r="O410" s="32"/>
      <c r="P410" s="8"/>
    </row>
    <row r="411" spans="1:16">
      <c r="A411" s="110"/>
      <c r="B411" s="113"/>
      <c r="C411" s="68" t="s">
        <v>18</v>
      </c>
      <c r="D411" s="32">
        <f>'приложение 9'!H371</f>
        <v>0</v>
      </c>
      <c r="E411" s="32">
        <f>'приложение 9'!I371</f>
        <v>0</v>
      </c>
      <c r="F411" s="32">
        <f>'приложение 9'!J371</f>
        <v>0</v>
      </c>
      <c r="G411" s="32">
        <f>'приложение 9'!K371</f>
        <v>0</v>
      </c>
      <c r="H411" s="32">
        <f>'приложение 9'!L371</f>
        <v>0</v>
      </c>
      <c r="I411" s="32">
        <f>'приложение 9'!M371</f>
        <v>0</v>
      </c>
      <c r="J411" s="32">
        <f>'приложение 9'!N371</f>
        <v>0</v>
      </c>
      <c r="K411" s="32">
        <f>'приложение 9'!O371</f>
        <v>0</v>
      </c>
      <c r="L411" s="32">
        <f>'приложение 9'!P371</f>
        <v>1922.0916999999999</v>
      </c>
      <c r="M411" s="32">
        <f>'приложение 9'!Q371</f>
        <v>1685.97865</v>
      </c>
      <c r="N411" s="32">
        <f>'приложение 9'!R371</f>
        <v>0</v>
      </c>
      <c r="O411" s="32">
        <f>'приложение 9'!S371</f>
        <v>0</v>
      </c>
      <c r="P411" s="8"/>
    </row>
    <row r="412" spans="1:16">
      <c r="A412" s="110"/>
      <c r="B412" s="113"/>
      <c r="C412" s="68" t="s">
        <v>19</v>
      </c>
      <c r="D412" s="32"/>
      <c r="E412" s="32"/>
      <c r="F412" s="32"/>
      <c r="G412" s="32"/>
      <c r="H412" s="32"/>
      <c r="I412" s="32"/>
      <c r="J412" s="32"/>
      <c r="K412" s="32"/>
      <c r="L412" s="32"/>
      <c r="M412" s="32"/>
      <c r="N412" s="32"/>
      <c r="O412" s="32"/>
      <c r="P412" s="8"/>
    </row>
    <row r="413" spans="1:16">
      <c r="A413" s="110"/>
      <c r="B413" s="113"/>
      <c r="C413" s="68" t="s">
        <v>20</v>
      </c>
      <c r="D413" s="32"/>
      <c r="E413" s="32"/>
      <c r="F413" s="32"/>
      <c r="G413" s="32"/>
      <c r="H413" s="32"/>
      <c r="I413" s="32"/>
      <c r="J413" s="32"/>
      <c r="K413" s="32"/>
      <c r="L413" s="32"/>
      <c r="M413" s="32"/>
      <c r="N413" s="32"/>
      <c r="O413" s="32"/>
      <c r="P413" s="8"/>
    </row>
    <row r="414" spans="1:16">
      <c r="A414" s="110"/>
      <c r="B414" s="113"/>
      <c r="C414" s="68" t="s">
        <v>21</v>
      </c>
      <c r="D414" s="32"/>
      <c r="E414" s="32"/>
      <c r="F414" s="32"/>
      <c r="G414" s="32"/>
      <c r="H414" s="32"/>
      <c r="I414" s="32"/>
      <c r="J414" s="32"/>
      <c r="K414" s="32"/>
      <c r="L414" s="32"/>
      <c r="M414" s="32"/>
      <c r="N414" s="32"/>
      <c r="O414" s="32"/>
      <c r="P414" s="8"/>
    </row>
    <row r="415" spans="1:16">
      <c r="A415" s="110"/>
      <c r="B415" s="113"/>
      <c r="C415" s="68" t="s">
        <v>22</v>
      </c>
      <c r="D415" s="32"/>
      <c r="E415" s="32"/>
      <c r="F415" s="32"/>
      <c r="G415" s="32"/>
      <c r="H415" s="32"/>
      <c r="I415" s="32"/>
      <c r="J415" s="32"/>
      <c r="K415" s="32"/>
      <c r="L415" s="32"/>
      <c r="M415" s="32"/>
      <c r="N415" s="32"/>
      <c r="O415" s="32"/>
      <c r="P415" s="8"/>
    </row>
    <row r="416" spans="1:16" ht="20.25" customHeight="1">
      <c r="A416" s="111"/>
      <c r="B416" s="114"/>
      <c r="C416" s="68" t="s">
        <v>23</v>
      </c>
      <c r="D416" s="7"/>
      <c r="E416" s="7"/>
      <c r="F416" s="7"/>
      <c r="G416" s="7"/>
      <c r="H416" s="7"/>
      <c r="I416" s="7"/>
      <c r="J416" s="7"/>
      <c r="K416" s="7"/>
      <c r="L416" s="32"/>
      <c r="M416" s="32"/>
      <c r="N416" s="32"/>
      <c r="O416" s="32"/>
      <c r="P416" s="8"/>
    </row>
    <row r="417" spans="1:16" ht="14.25" customHeight="1">
      <c r="A417" s="109" t="s">
        <v>32</v>
      </c>
      <c r="B417" s="112" t="s">
        <v>424</v>
      </c>
      <c r="C417" s="11" t="s">
        <v>16</v>
      </c>
      <c r="D417" s="32">
        <f t="shared" ref="D417:E417" si="147">SUM(D419:D424)</f>
        <v>365.91500000000002</v>
      </c>
      <c r="E417" s="32">
        <f t="shared" si="147"/>
        <v>365.91500000000002</v>
      </c>
      <c r="F417" s="32">
        <f t="shared" ref="F417:K417" si="148">SUM(F419:F424)</f>
        <v>0</v>
      </c>
      <c r="G417" s="32">
        <f t="shared" si="148"/>
        <v>0</v>
      </c>
      <c r="H417" s="32">
        <f t="shared" si="148"/>
        <v>119.2</v>
      </c>
      <c r="I417" s="32">
        <f t="shared" si="148"/>
        <v>105.31873</v>
      </c>
      <c r="J417" s="32">
        <f t="shared" si="148"/>
        <v>166</v>
      </c>
      <c r="K417" s="32">
        <f t="shared" si="148"/>
        <v>165.00570999999999</v>
      </c>
      <c r="L417" s="32">
        <f>SUM(L419:L424)</f>
        <v>245.3</v>
      </c>
      <c r="M417" s="32">
        <f>SUM(M419:M424)</f>
        <v>245.3</v>
      </c>
      <c r="N417" s="32">
        <f t="shared" ref="N417:O417" si="149">SUM(N419:N424)</f>
        <v>0</v>
      </c>
      <c r="O417" s="32">
        <f t="shared" si="149"/>
        <v>0</v>
      </c>
      <c r="P417" s="8"/>
    </row>
    <row r="418" spans="1:16">
      <c r="A418" s="110"/>
      <c r="B418" s="113"/>
      <c r="C418" s="11" t="s">
        <v>17</v>
      </c>
      <c r="D418" s="32"/>
      <c r="E418" s="32"/>
      <c r="F418" s="32"/>
      <c r="G418" s="32"/>
      <c r="H418" s="32"/>
      <c r="I418" s="32"/>
      <c r="J418" s="32"/>
      <c r="K418" s="32"/>
      <c r="L418" s="32"/>
      <c r="M418" s="32"/>
      <c r="N418" s="32"/>
      <c r="O418" s="32"/>
      <c r="P418" s="8"/>
    </row>
    <row r="419" spans="1:16">
      <c r="A419" s="110"/>
      <c r="B419" s="113"/>
      <c r="C419" s="11" t="s">
        <v>18</v>
      </c>
      <c r="D419" s="32">
        <f>'приложение 9'!H373</f>
        <v>365.91500000000002</v>
      </c>
      <c r="E419" s="32">
        <f>'приложение 9'!I373</f>
        <v>365.91500000000002</v>
      </c>
      <c r="F419" s="32">
        <f>'приложение 9'!J373</f>
        <v>0</v>
      </c>
      <c r="G419" s="32">
        <f>'приложение 9'!K373</f>
        <v>0</v>
      </c>
      <c r="H419" s="32">
        <f>'приложение 9'!L373</f>
        <v>119.2</v>
      </c>
      <c r="I419" s="32">
        <f>'приложение 9'!M373</f>
        <v>105.31873</v>
      </c>
      <c r="J419" s="32">
        <f>'приложение 9'!N373</f>
        <v>166</v>
      </c>
      <c r="K419" s="32">
        <f>'приложение 9'!O373</f>
        <v>165.00570999999999</v>
      </c>
      <c r="L419" s="32">
        <f>'приложение 9'!P373</f>
        <v>245.3</v>
      </c>
      <c r="M419" s="32">
        <f>'приложение 9'!Q373</f>
        <v>245.3</v>
      </c>
      <c r="N419" s="32">
        <f>'приложение 9'!R373</f>
        <v>0</v>
      </c>
      <c r="O419" s="32">
        <f>'приложение 9'!S373</f>
        <v>0</v>
      </c>
      <c r="P419" s="8"/>
    </row>
    <row r="420" spans="1:16">
      <c r="A420" s="110"/>
      <c r="B420" s="113"/>
      <c r="C420" s="11" t="s">
        <v>19</v>
      </c>
      <c r="D420" s="32"/>
      <c r="E420" s="32"/>
      <c r="F420" s="32"/>
      <c r="G420" s="32"/>
      <c r="H420" s="32"/>
      <c r="I420" s="32"/>
      <c r="J420" s="32"/>
      <c r="K420" s="32"/>
      <c r="L420" s="32"/>
      <c r="M420" s="32"/>
      <c r="N420" s="8"/>
      <c r="O420" s="8"/>
      <c r="P420" s="8"/>
    </row>
    <row r="421" spans="1:16">
      <c r="A421" s="110"/>
      <c r="B421" s="113"/>
      <c r="C421" s="11" t="s">
        <v>20</v>
      </c>
      <c r="D421" s="32"/>
      <c r="E421" s="32"/>
      <c r="F421" s="32"/>
      <c r="G421" s="32"/>
      <c r="H421" s="32"/>
      <c r="I421" s="32"/>
      <c r="J421" s="32"/>
      <c r="K421" s="32"/>
      <c r="L421" s="32"/>
      <c r="M421" s="32"/>
      <c r="N421" s="8"/>
      <c r="O421" s="8"/>
      <c r="P421" s="8"/>
    </row>
    <row r="422" spans="1:16">
      <c r="A422" s="110"/>
      <c r="B422" s="113"/>
      <c r="C422" s="11" t="s">
        <v>21</v>
      </c>
      <c r="D422" s="7"/>
      <c r="E422" s="7"/>
      <c r="F422" s="7"/>
      <c r="G422" s="7"/>
      <c r="H422" s="7"/>
      <c r="I422" s="7"/>
      <c r="J422" s="7"/>
      <c r="K422" s="7"/>
      <c r="L422" s="32"/>
      <c r="M422" s="32"/>
      <c r="N422" s="8"/>
      <c r="O422" s="8"/>
      <c r="P422" s="8"/>
    </row>
    <row r="423" spans="1:16">
      <c r="A423" s="110"/>
      <c r="B423" s="113"/>
      <c r="C423" s="11" t="s">
        <v>22</v>
      </c>
      <c r="D423" s="7"/>
      <c r="E423" s="7"/>
      <c r="F423" s="7"/>
      <c r="G423" s="7"/>
      <c r="H423" s="7"/>
      <c r="I423" s="7"/>
      <c r="J423" s="7"/>
      <c r="K423" s="7"/>
      <c r="L423" s="32"/>
      <c r="M423" s="32"/>
      <c r="N423" s="8"/>
      <c r="O423" s="8"/>
      <c r="P423" s="8"/>
    </row>
    <row r="424" spans="1:16">
      <c r="A424" s="111"/>
      <c r="B424" s="114"/>
      <c r="C424" s="11" t="s">
        <v>23</v>
      </c>
      <c r="D424" s="7"/>
      <c r="E424" s="7"/>
      <c r="F424" s="7"/>
      <c r="G424" s="7"/>
      <c r="H424" s="7"/>
      <c r="I424" s="7"/>
      <c r="J424" s="7"/>
      <c r="K424" s="7"/>
      <c r="L424" s="32"/>
      <c r="M424" s="32"/>
      <c r="N424" s="8"/>
      <c r="O424" s="8"/>
      <c r="P424" s="8"/>
    </row>
    <row r="425" spans="1:16" ht="14.25" customHeight="1">
      <c r="A425" s="109" t="s">
        <v>33</v>
      </c>
      <c r="B425" s="112" t="s">
        <v>426</v>
      </c>
      <c r="C425" s="35" t="s">
        <v>16</v>
      </c>
      <c r="D425" s="32">
        <f t="shared" ref="D425:E425" si="150">SUM(D427:D432)</f>
        <v>49.844180000000001</v>
      </c>
      <c r="E425" s="32">
        <f t="shared" si="150"/>
        <v>49.844180000000001</v>
      </c>
      <c r="F425" s="32">
        <f t="shared" ref="F425:K425" si="151">SUM(F427:F432)</f>
        <v>0</v>
      </c>
      <c r="G425" s="32">
        <f t="shared" si="151"/>
        <v>0</v>
      </c>
      <c r="H425" s="32">
        <f t="shared" si="151"/>
        <v>0</v>
      </c>
      <c r="I425" s="32">
        <f t="shared" si="151"/>
        <v>0</v>
      </c>
      <c r="J425" s="32">
        <f t="shared" si="151"/>
        <v>63.406199999999998</v>
      </c>
      <c r="K425" s="32">
        <f t="shared" si="151"/>
        <v>63.406199999999998</v>
      </c>
      <c r="L425" s="32">
        <f>SUM(L427:L432)</f>
        <v>63.406199999999998</v>
      </c>
      <c r="M425" s="32">
        <f>SUM(M427:M432)</f>
        <v>63.406199999999998</v>
      </c>
      <c r="N425" s="32">
        <f t="shared" ref="N425:O425" si="152">SUM(N427:N432)</f>
        <v>0</v>
      </c>
      <c r="O425" s="32">
        <f t="shared" si="152"/>
        <v>0</v>
      </c>
      <c r="P425" s="8"/>
    </row>
    <row r="426" spans="1:16">
      <c r="A426" s="110"/>
      <c r="B426" s="113"/>
      <c r="C426" s="35" t="s">
        <v>17</v>
      </c>
      <c r="D426" s="32"/>
      <c r="E426" s="32"/>
      <c r="F426" s="32"/>
      <c r="G426" s="32"/>
      <c r="H426" s="32"/>
      <c r="I426" s="32"/>
      <c r="J426" s="32"/>
      <c r="K426" s="32"/>
      <c r="L426" s="32"/>
      <c r="M426" s="32"/>
      <c r="N426" s="32"/>
      <c r="O426" s="32"/>
      <c r="P426" s="8"/>
    </row>
    <row r="427" spans="1:16">
      <c r="A427" s="110"/>
      <c r="B427" s="113"/>
      <c r="C427" s="35" t="s">
        <v>18</v>
      </c>
      <c r="D427" s="32"/>
      <c r="E427" s="32"/>
      <c r="F427" s="32"/>
      <c r="G427" s="32"/>
      <c r="H427" s="32"/>
      <c r="I427" s="32"/>
      <c r="J427" s="32"/>
      <c r="K427" s="32"/>
      <c r="L427" s="32"/>
      <c r="M427" s="32"/>
      <c r="N427" s="32"/>
      <c r="O427" s="32"/>
      <c r="P427" s="8"/>
    </row>
    <row r="428" spans="1:16">
      <c r="A428" s="110"/>
      <c r="B428" s="113"/>
      <c r="C428" s="35" t="s">
        <v>19</v>
      </c>
      <c r="D428" s="32">
        <f>'приложение 9'!H375</f>
        <v>49.844180000000001</v>
      </c>
      <c r="E428" s="32">
        <f>'приложение 9'!I375</f>
        <v>49.844180000000001</v>
      </c>
      <c r="F428" s="32">
        <f>'приложение 9'!J375</f>
        <v>0</v>
      </c>
      <c r="G428" s="32">
        <f>'приложение 9'!K375</f>
        <v>0</v>
      </c>
      <c r="H428" s="32">
        <f>'приложение 9'!L375</f>
        <v>0</v>
      </c>
      <c r="I428" s="32">
        <f>'приложение 9'!M375</f>
        <v>0</v>
      </c>
      <c r="J428" s="32">
        <f>'приложение 9'!N375</f>
        <v>63.406199999999998</v>
      </c>
      <c r="K428" s="32">
        <f>'приложение 9'!O375</f>
        <v>63.406199999999998</v>
      </c>
      <c r="L428" s="32">
        <f>'приложение 9'!P375</f>
        <v>63.406199999999998</v>
      </c>
      <c r="M428" s="32">
        <f>'приложение 9'!Q375</f>
        <v>63.406199999999998</v>
      </c>
      <c r="N428" s="32">
        <f>'приложение 9'!R375</f>
        <v>0</v>
      </c>
      <c r="O428" s="32">
        <f>'приложение 9'!S375</f>
        <v>0</v>
      </c>
      <c r="P428" s="8"/>
    </row>
    <row r="429" spans="1:16">
      <c r="A429" s="110"/>
      <c r="B429" s="113"/>
      <c r="C429" s="35" t="s">
        <v>20</v>
      </c>
      <c r="D429" s="32"/>
      <c r="E429" s="32"/>
      <c r="F429" s="32"/>
      <c r="G429" s="32"/>
      <c r="H429" s="32"/>
      <c r="I429" s="32"/>
      <c r="J429" s="32"/>
      <c r="K429" s="32"/>
      <c r="L429" s="32"/>
      <c r="M429" s="32"/>
      <c r="N429" s="32"/>
      <c r="O429" s="32"/>
      <c r="P429" s="8"/>
    </row>
    <row r="430" spans="1:16">
      <c r="A430" s="110"/>
      <c r="B430" s="113"/>
      <c r="C430" s="35" t="s">
        <v>21</v>
      </c>
      <c r="D430" s="32"/>
      <c r="E430" s="32"/>
      <c r="F430" s="32"/>
      <c r="G430" s="32"/>
      <c r="H430" s="32"/>
      <c r="I430" s="32"/>
      <c r="J430" s="32"/>
      <c r="K430" s="32"/>
      <c r="L430" s="32"/>
      <c r="M430" s="32"/>
      <c r="N430" s="32"/>
      <c r="O430" s="32"/>
      <c r="P430" s="8"/>
    </row>
    <row r="431" spans="1:16">
      <c r="A431" s="110"/>
      <c r="B431" s="113"/>
      <c r="C431" s="35" t="s">
        <v>22</v>
      </c>
      <c r="D431" s="32"/>
      <c r="E431" s="32"/>
      <c r="F431" s="32"/>
      <c r="G431" s="32"/>
      <c r="H431" s="32"/>
      <c r="I431" s="32"/>
      <c r="J431" s="32"/>
      <c r="K431" s="32"/>
      <c r="L431" s="32"/>
      <c r="M431" s="32"/>
      <c r="N431" s="32"/>
      <c r="O431" s="32"/>
      <c r="P431" s="8"/>
    </row>
    <row r="432" spans="1:16">
      <c r="A432" s="111"/>
      <c r="B432" s="114"/>
      <c r="C432" s="35" t="s">
        <v>23</v>
      </c>
      <c r="D432" s="32"/>
      <c r="E432" s="32"/>
      <c r="F432" s="32"/>
      <c r="G432" s="32"/>
      <c r="H432" s="32"/>
      <c r="I432" s="32"/>
      <c r="J432" s="32"/>
      <c r="K432" s="32"/>
      <c r="L432" s="32"/>
      <c r="M432" s="32"/>
      <c r="N432" s="32"/>
      <c r="O432" s="32"/>
      <c r="P432" s="8"/>
    </row>
    <row r="433" spans="1:16" ht="14.25" customHeight="1">
      <c r="A433" s="109" t="s">
        <v>34</v>
      </c>
      <c r="B433" s="112" t="s">
        <v>676</v>
      </c>
      <c r="C433" s="68" t="s">
        <v>16</v>
      </c>
      <c r="D433" s="32">
        <f t="shared" ref="D433:K433" si="153">SUM(D435:D440)</f>
        <v>0</v>
      </c>
      <c r="E433" s="32">
        <f t="shared" si="153"/>
        <v>0</v>
      </c>
      <c r="F433" s="32">
        <f t="shared" si="153"/>
        <v>0</v>
      </c>
      <c r="G433" s="32">
        <f t="shared" si="153"/>
        <v>0</v>
      </c>
      <c r="H433" s="32">
        <f t="shared" si="153"/>
        <v>0</v>
      </c>
      <c r="I433" s="32">
        <f t="shared" si="153"/>
        <v>0</v>
      </c>
      <c r="J433" s="32">
        <f t="shared" si="153"/>
        <v>0</v>
      </c>
      <c r="K433" s="32">
        <f t="shared" si="153"/>
        <v>0</v>
      </c>
      <c r="L433" s="32">
        <f>SUM(L435:L440)</f>
        <v>4423.7722999999996</v>
      </c>
      <c r="M433" s="32">
        <f>SUM(M435:M440)</f>
        <v>3880.3485500000002</v>
      </c>
      <c r="N433" s="32">
        <f t="shared" ref="N433:O433" si="154">SUM(N435:N440)</f>
        <v>0</v>
      </c>
      <c r="O433" s="32">
        <f t="shared" si="154"/>
        <v>0</v>
      </c>
      <c r="P433" s="8"/>
    </row>
    <row r="434" spans="1:16">
      <c r="A434" s="110"/>
      <c r="B434" s="113"/>
      <c r="C434" s="68" t="s">
        <v>17</v>
      </c>
      <c r="D434" s="32"/>
      <c r="E434" s="32"/>
      <c r="F434" s="32"/>
      <c r="G434" s="32"/>
      <c r="H434" s="32"/>
      <c r="I434" s="32"/>
      <c r="J434" s="32"/>
      <c r="K434" s="32"/>
      <c r="L434" s="32"/>
      <c r="M434" s="32"/>
      <c r="N434" s="32"/>
      <c r="O434" s="32"/>
      <c r="P434" s="8"/>
    </row>
    <row r="435" spans="1:16">
      <c r="A435" s="110"/>
      <c r="B435" s="113"/>
      <c r="C435" s="68" t="s">
        <v>18</v>
      </c>
      <c r="D435" s="32"/>
      <c r="E435" s="32"/>
      <c r="F435" s="32"/>
      <c r="G435" s="32"/>
      <c r="H435" s="32"/>
      <c r="I435" s="32"/>
      <c r="J435" s="32"/>
      <c r="K435" s="32"/>
      <c r="L435" s="32"/>
      <c r="M435" s="32"/>
      <c r="N435" s="32"/>
      <c r="O435" s="32"/>
      <c r="P435" s="8"/>
    </row>
    <row r="436" spans="1:16">
      <c r="A436" s="110"/>
      <c r="B436" s="113"/>
      <c r="C436" s="68" t="s">
        <v>19</v>
      </c>
      <c r="D436" s="32">
        <f>'приложение 9'!H377</f>
        <v>0</v>
      </c>
      <c r="E436" s="32">
        <f>'приложение 9'!I377</f>
        <v>0</v>
      </c>
      <c r="F436" s="32">
        <f>'приложение 9'!J377</f>
        <v>0</v>
      </c>
      <c r="G436" s="32">
        <f>'приложение 9'!K377</f>
        <v>0</v>
      </c>
      <c r="H436" s="32">
        <f>'приложение 9'!L377</f>
        <v>0</v>
      </c>
      <c r="I436" s="32">
        <f>'приложение 9'!M377</f>
        <v>0</v>
      </c>
      <c r="J436" s="32">
        <f>'приложение 9'!N377</f>
        <v>0</v>
      </c>
      <c r="K436" s="32">
        <f>'приложение 9'!O377</f>
        <v>0</v>
      </c>
      <c r="L436" s="32">
        <f>'приложение 9'!P377</f>
        <v>4423.7722999999996</v>
      </c>
      <c r="M436" s="32">
        <f>'приложение 9'!Q377</f>
        <v>3880.3485500000002</v>
      </c>
      <c r="N436" s="32">
        <f>'приложение 9'!R377</f>
        <v>0</v>
      </c>
      <c r="O436" s="32">
        <f>'приложение 9'!S377</f>
        <v>0</v>
      </c>
      <c r="P436" s="8"/>
    </row>
    <row r="437" spans="1:16">
      <c r="A437" s="110"/>
      <c r="B437" s="113"/>
      <c r="C437" s="68" t="s">
        <v>20</v>
      </c>
      <c r="D437" s="32"/>
      <c r="E437" s="32"/>
      <c r="F437" s="32"/>
      <c r="G437" s="32"/>
      <c r="H437" s="32"/>
      <c r="I437" s="32"/>
      <c r="J437" s="32"/>
      <c r="K437" s="32"/>
      <c r="L437" s="32"/>
      <c r="M437" s="32"/>
      <c r="N437" s="32"/>
      <c r="O437" s="32"/>
      <c r="P437" s="8"/>
    </row>
    <row r="438" spans="1:16">
      <c r="A438" s="110"/>
      <c r="B438" s="113"/>
      <c r="C438" s="68" t="s">
        <v>21</v>
      </c>
      <c r="D438" s="7"/>
      <c r="E438" s="7"/>
      <c r="F438" s="7"/>
      <c r="G438" s="7"/>
      <c r="H438" s="7"/>
      <c r="I438" s="7"/>
      <c r="J438" s="7"/>
      <c r="K438" s="7"/>
      <c r="L438" s="32"/>
      <c r="M438" s="32"/>
      <c r="N438" s="32"/>
      <c r="O438" s="32"/>
      <c r="P438" s="8"/>
    </row>
    <row r="439" spans="1:16">
      <c r="A439" s="110"/>
      <c r="B439" s="113"/>
      <c r="C439" s="68" t="s">
        <v>22</v>
      </c>
      <c r="D439" s="7"/>
      <c r="E439" s="7"/>
      <c r="F439" s="7"/>
      <c r="G439" s="7"/>
      <c r="H439" s="7"/>
      <c r="I439" s="7"/>
      <c r="J439" s="7"/>
      <c r="K439" s="7"/>
      <c r="L439" s="32"/>
      <c r="M439" s="32"/>
      <c r="N439" s="32"/>
      <c r="O439" s="32"/>
      <c r="P439" s="8"/>
    </row>
    <row r="440" spans="1:16">
      <c r="A440" s="111"/>
      <c r="B440" s="114"/>
      <c r="C440" s="68" t="s">
        <v>23</v>
      </c>
      <c r="D440" s="7"/>
      <c r="E440" s="7"/>
      <c r="F440" s="7"/>
      <c r="G440" s="7"/>
      <c r="H440" s="7"/>
      <c r="I440" s="7"/>
      <c r="J440" s="7"/>
      <c r="K440" s="7"/>
      <c r="L440" s="32"/>
      <c r="M440" s="32"/>
      <c r="N440" s="32"/>
      <c r="O440" s="32"/>
      <c r="P440" s="8"/>
    </row>
    <row r="441" spans="1:16" ht="14.25" customHeight="1">
      <c r="A441" s="109" t="s">
        <v>35</v>
      </c>
      <c r="B441" s="112" t="s">
        <v>428</v>
      </c>
      <c r="C441" s="68" t="s">
        <v>16</v>
      </c>
      <c r="D441" s="32">
        <f t="shared" ref="D441:K441" si="155">SUM(D443:D448)</f>
        <v>2241.70541</v>
      </c>
      <c r="E441" s="32">
        <f t="shared" si="155"/>
        <v>2241.70541</v>
      </c>
      <c r="F441" s="32">
        <f t="shared" si="155"/>
        <v>570</v>
      </c>
      <c r="G441" s="32">
        <f t="shared" si="155"/>
        <v>505.00581</v>
      </c>
      <c r="H441" s="32">
        <f t="shared" si="155"/>
        <v>1165.05</v>
      </c>
      <c r="I441" s="32">
        <f t="shared" si="155"/>
        <v>1080.6839500000001</v>
      </c>
      <c r="J441" s="32">
        <f t="shared" si="155"/>
        <v>1704.79</v>
      </c>
      <c r="K441" s="32">
        <f t="shared" si="155"/>
        <v>1679.05864</v>
      </c>
      <c r="L441" s="32">
        <f>SUM(L443:L448)</f>
        <v>2239.5804000000003</v>
      </c>
      <c r="M441" s="32">
        <f>SUM(M443:M448)</f>
        <v>2239.5804000000003</v>
      </c>
      <c r="N441" s="32">
        <f t="shared" ref="N441:O441" si="156">SUM(N443:N448)</f>
        <v>2274.4</v>
      </c>
      <c r="O441" s="32">
        <f t="shared" si="156"/>
        <v>2274.4</v>
      </c>
      <c r="P441" s="8"/>
    </row>
    <row r="442" spans="1:16">
      <c r="A442" s="110"/>
      <c r="B442" s="113"/>
      <c r="C442" s="68" t="s">
        <v>17</v>
      </c>
      <c r="D442" s="32"/>
      <c r="E442" s="32"/>
      <c r="F442" s="32"/>
      <c r="G442" s="32"/>
      <c r="H442" s="32"/>
      <c r="I442" s="32"/>
      <c r="J442" s="32"/>
      <c r="K442" s="32"/>
      <c r="L442" s="32"/>
      <c r="M442" s="32"/>
      <c r="N442" s="32"/>
      <c r="O442" s="32"/>
      <c r="P442" s="8"/>
    </row>
    <row r="443" spans="1:16">
      <c r="A443" s="110"/>
      <c r="B443" s="113"/>
      <c r="C443" s="68" t="s">
        <v>18</v>
      </c>
      <c r="D443" s="32"/>
      <c r="E443" s="32"/>
      <c r="F443" s="32"/>
      <c r="G443" s="32"/>
      <c r="H443" s="32"/>
      <c r="I443" s="32"/>
      <c r="J443" s="32"/>
      <c r="K443" s="32"/>
      <c r="L443" s="32"/>
      <c r="M443" s="32"/>
      <c r="N443" s="32"/>
      <c r="O443" s="32"/>
      <c r="P443" s="8"/>
    </row>
    <row r="444" spans="1:16">
      <c r="A444" s="110"/>
      <c r="B444" s="113"/>
      <c r="C444" s="68" t="s">
        <v>19</v>
      </c>
      <c r="D444" s="32">
        <f>'приложение 9'!H379</f>
        <v>2241.70541</v>
      </c>
      <c r="E444" s="32">
        <f>'приложение 9'!I379</f>
        <v>2241.70541</v>
      </c>
      <c r="F444" s="32">
        <f>'приложение 9'!J379</f>
        <v>570</v>
      </c>
      <c r="G444" s="32">
        <f>'приложение 9'!K379</f>
        <v>505.00581</v>
      </c>
      <c r="H444" s="32">
        <f>'приложение 9'!L379</f>
        <v>1165.05</v>
      </c>
      <c r="I444" s="32">
        <f>'приложение 9'!M379</f>
        <v>1080.6839500000001</v>
      </c>
      <c r="J444" s="32">
        <f>'приложение 9'!N379</f>
        <v>1704.79</v>
      </c>
      <c r="K444" s="32">
        <f>'приложение 9'!O379</f>
        <v>1679.05864</v>
      </c>
      <c r="L444" s="32">
        <f>'приложение 9'!P379</f>
        <v>2239.5804000000003</v>
      </c>
      <c r="M444" s="32">
        <f>'приложение 9'!Q379</f>
        <v>2239.5804000000003</v>
      </c>
      <c r="N444" s="32">
        <f>'приложение 9'!R379</f>
        <v>2274.4</v>
      </c>
      <c r="O444" s="32">
        <f>'приложение 9'!S379</f>
        <v>2274.4</v>
      </c>
      <c r="P444" s="8"/>
    </row>
    <row r="445" spans="1:16">
      <c r="A445" s="110"/>
      <c r="B445" s="113"/>
      <c r="C445" s="68" t="s">
        <v>20</v>
      </c>
      <c r="D445" s="32"/>
      <c r="E445" s="32"/>
      <c r="F445" s="32"/>
      <c r="G445" s="32"/>
      <c r="H445" s="32"/>
      <c r="I445" s="32"/>
      <c r="J445" s="32"/>
      <c r="K445" s="32"/>
      <c r="L445" s="32"/>
      <c r="M445" s="32"/>
      <c r="N445" s="8"/>
      <c r="O445" s="8"/>
      <c r="P445" s="8"/>
    </row>
    <row r="446" spans="1:16">
      <c r="A446" s="110"/>
      <c r="B446" s="113"/>
      <c r="C446" s="68" t="s">
        <v>21</v>
      </c>
      <c r="D446" s="32"/>
      <c r="E446" s="32"/>
      <c r="F446" s="32"/>
      <c r="G446" s="32"/>
      <c r="H446" s="32"/>
      <c r="I446" s="32"/>
      <c r="J446" s="32"/>
      <c r="K446" s="32"/>
      <c r="L446" s="32"/>
      <c r="M446" s="32"/>
      <c r="N446" s="8"/>
      <c r="O446" s="8"/>
      <c r="P446" s="8"/>
    </row>
    <row r="447" spans="1:16">
      <c r="A447" s="110"/>
      <c r="B447" s="113"/>
      <c r="C447" s="68" t="s">
        <v>22</v>
      </c>
      <c r="D447" s="32"/>
      <c r="E447" s="32"/>
      <c r="F447" s="32"/>
      <c r="G447" s="32"/>
      <c r="H447" s="32"/>
      <c r="I447" s="32"/>
      <c r="J447" s="32"/>
      <c r="K447" s="32"/>
      <c r="L447" s="32"/>
      <c r="M447" s="32"/>
      <c r="N447" s="8"/>
      <c r="O447" s="8"/>
      <c r="P447" s="8"/>
    </row>
    <row r="448" spans="1:16">
      <c r="A448" s="111"/>
      <c r="B448" s="114"/>
      <c r="C448" s="68" t="s">
        <v>23</v>
      </c>
      <c r="D448" s="32"/>
      <c r="E448" s="32"/>
      <c r="F448" s="32"/>
      <c r="G448" s="32"/>
      <c r="H448" s="32"/>
      <c r="I448" s="32"/>
      <c r="J448" s="32"/>
      <c r="K448" s="32"/>
      <c r="L448" s="32"/>
      <c r="M448" s="32"/>
      <c r="N448" s="8"/>
      <c r="O448" s="8"/>
      <c r="P448" s="8"/>
    </row>
    <row r="449" spans="1:16" ht="14.25" customHeight="1">
      <c r="A449" s="109" t="s">
        <v>36</v>
      </c>
      <c r="B449" s="112" t="s">
        <v>428</v>
      </c>
      <c r="C449" s="35" t="s">
        <v>16</v>
      </c>
      <c r="D449" s="32">
        <f t="shared" ref="D449:E449" si="157">SUM(D451:D456)</f>
        <v>184.99458999999999</v>
      </c>
      <c r="E449" s="32">
        <f t="shared" si="157"/>
        <v>184.99458999999999</v>
      </c>
      <c r="F449" s="32">
        <f t="shared" ref="F449:K449" si="158">SUM(F451:F456)</f>
        <v>75.900000000000006</v>
      </c>
      <c r="G449" s="32">
        <f t="shared" si="158"/>
        <v>56.16</v>
      </c>
      <c r="H449" s="32">
        <f t="shared" si="158"/>
        <v>169.15</v>
      </c>
      <c r="I449" s="32">
        <f t="shared" si="158"/>
        <v>137.125</v>
      </c>
      <c r="J449" s="32">
        <f t="shared" si="158"/>
        <v>257.51</v>
      </c>
      <c r="K449" s="32">
        <f t="shared" si="158"/>
        <v>204.38499999999999</v>
      </c>
      <c r="L449" s="32">
        <f>SUM(L451:L456)</f>
        <v>324.01960000000003</v>
      </c>
      <c r="M449" s="32">
        <f>SUM(M451:M456)</f>
        <v>324.01960000000003</v>
      </c>
      <c r="N449" s="32">
        <f t="shared" ref="N449:O449" si="159">SUM(N451:N456)</f>
        <v>331.6</v>
      </c>
      <c r="O449" s="32">
        <f t="shared" si="159"/>
        <v>331.6</v>
      </c>
      <c r="P449" s="8"/>
    </row>
    <row r="450" spans="1:16">
      <c r="A450" s="110"/>
      <c r="B450" s="113"/>
      <c r="C450" s="35" t="s">
        <v>17</v>
      </c>
      <c r="D450" s="32"/>
      <c r="E450" s="32"/>
      <c r="F450" s="32"/>
      <c r="G450" s="32"/>
      <c r="H450" s="32"/>
      <c r="I450" s="32"/>
      <c r="J450" s="32"/>
      <c r="K450" s="32"/>
      <c r="L450" s="32"/>
      <c r="M450" s="32"/>
      <c r="N450" s="32"/>
      <c r="O450" s="32"/>
      <c r="P450" s="8"/>
    </row>
    <row r="451" spans="1:16">
      <c r="A451" s="110"/>
      <c r="B451" s="113"/>
      <c r="C451" s="35" t="s">
        <v>18</v>
      </c>
      <c r="D451" s="32"/>
      <c r="E451" s="32"/>
      <c r="F451" s="32"/>
      <c r="G451" s="32"/>
      <c r="H451" s="32"/>
      <c r="I451" s="32"/>
      <c r="J451" s="32"/>
      <c r="K451" s="32"/>
      <c r="L451" s="32"/>
      <c r="M451" s="32"/>
      <c r="N451" s="32"/>
      <c r="O451" s="32"/>
      <c r="P451" s="8"/>
    </row>
    <row r="452" spans="1:16">
      <c r="A452" s="110"/>
      <c r="B452" s="113"/>
      <c r="C452" s="35" t="s">
        <v>19</v>
      </c>
      <c r="D452" s="32">
        <f>'приложение 9'!H381</f>
        <v>184.99458999999999</v>
      </c>
      <c r="E452" s="32">
        <f>'приложение 9'!I381</f>
        <v>184.99458999999999</v>
      </c>
      <c r="F452" s="32">
        <f>'приложение 9'!J381</f>
        <v>75.900000000000006</v>
      </c>
      <c r="G452" s="32">
        <f>'приложение 9'!K381</f>
        <v>56.16</v>
      </c>
      <c r="H452" s="32">
        <f>'приложение 9'!L381</f>
        <v>169.15</v>
      </c>
      <c r="I452" s="32">
        <f>'приложение 9'!M381</f>
        <v>137.125</v>
      </c>
      <c r="J452" s="32">
        <f>'приложение 9'!N381</f>
        <v>257.51</v>
      </c>
      <c r="K452" s="32">
        <f>'приложение 9'!O381</f>
        <v>204.38499999999999</v>
      </c>
      <c r="L452" s="32">
        <f>'приложение 9'!P381</f>
        <v>324.01960000000003</v>
      </c>
      <c r="M452" s="32">
        <f>'приложение 9'!Q381</f>
        <v>324.01960000000003</v>
      </c>
      <c r="N452" s="32">
        <f>'приложение 9'!R381</f>
        <v>331.6</v>
      </c>
      <c r="O452" s="32">
        <f>'приложение 9'!S381</f>
        <v>331.6</v>
      </c>
      <c r="P452" s="8"/>
    </row>
    <row r="453" spans="1:16">
      <c r="A453" s="110"/>
      <c r="B453" s="113"/>
      <c r="C453" s="35" t="s">
        <v>20</v>
      </c>
      <c r="D453" s="32"/>
      <c r="E453" s="32"/>
      <c r="F453" s="32"/>
      <c r="G453" s="32"/>
      <c r="H453" s="32"/>
      <c r="I453" s="32"/>
      <c r="J453" s="32"/>
      <c r="K453" s="32"/>
      <c r="L453" s="32"/>
      <c r="M453" s="32"/>
      <c r="N453" s="8"/>
      <c r="O453" s="8"/>
      <c r="P453" s="8"/>
    </row>
    <row r="454" spans="1:16">
      <c r="A454" s="110"/>
      <c r="B454" s="113"/>
      <c r="C454" s="35" t="s">
        <v>21</v>
      </c>
      <c r="D454" s="32"/>
      <c r="E454" s="32"/>
      <c r="F454" s="32"/>
      <c r="G454" s="32"/>
      <c r="H454" s="32"/>
      <c r="I454" s="32"/>
      <c r="J454" s="32"/>
      <c r="K454" s="32"/>
      <c r="L454" s="32"/>
      <c r="M454" s="32"/>
      <c r="N454" s="8"/>
      <c r="O454" s="8"/>
      <c r="P454" s="8"/>
    </row>
    <row r="455" spans="1:16">
      <c r="A455" s="110"/>
      <c r="B455" s="113"/>
      <c r="C455" s="35" t="s">
        <v>22</v>
      </c>
      <c r="D455" s="32"/>
      <c r="E455" s="32"/>
      <c r="F455" s="32"/>
      <c r="G455" s="32"/>
      <c r="H455" s="32"/>
      <c r="I455" s="32"/>
      <c r="J455" s="32"/>
      <c r="K455" s="32"/>
      <c r="L455" s="32"/>
      <c r="M455" s="32"/>
      <c r="N455" s="8"/>
      <c r="O455" s="8"/>
      <c r="P455" s="8"/>
    </row>
    <row r="456" spans="1:16">
      <c r="A456" s="111"/>
      <c r="B456" s="114"/>
      <c r="C456" s="35" t="s">
        <v>23</v>
      </c>
      <c r="D456" s="32"/>
      <c r="E456" s="32"/>
      <c r="F456" s="32"/>
      <c r="G456" s="32"/>
      <c r="H456" s="32"/>
      <c r="I456" s="32"/>
      <c r="J456" s="32"/>
      <c r="K456" s="32"/>
      <c r="L456" s="32"/>
      <c r="M456" s="32"/>
      <c r="N456" s="8"/>
      <c r="O456" s="8"/>
      <c r="P456" s="8"/>
    </row>
    <row r="457" spans="1:16" ht="14.25" customHeight="1">
      <c r="A457" s="109" t="s">
        <v>37</v>
      </c>
      <c r="B457" s="112" t="s">
        <v>430</v>
      </c>
      <c r="C457" s="35" t="s">
        <v>16</v>
      </c>
      <c r="D457" s="32">
        <f t="shared" ref="D457:E457" si="160">SUM(D459:D464)</f>
        <v>601</v>
      </c>
      <c r="E457" s="32">
        <f t="shared" si="160"/>
        <v>595.38311999999996</v>
      </c>
      <c r="F457" s="32">
        <f t="shared" ref="F457:K457" si="161">SUM(F459:F464)</f>
        <v>0</v>
      </c>
      <c r="G457" s="32">
        <f t="shared" si="161"/>
        <v>0</v>
      </c>
      <c r="H457" s="32">
        <f t="shared" si="161"/>
        <v>98.762879999999996</v>
      </c>
      <c r="I457" s="32">
        <f t="shared" si="161"/>
        <v>98.762879999999996</v>
      </c>
      <c r="J457" s="32">
        <f t="shared" si="161"/>
        <v>362.02643999999998</v>
      </c>
      <c r="K457" s="32">
        <f t="shared" si="161"/>
        <v>362.02643999999998</v>
      </c>
      <c r="L457" s="32">
        <f>SUM(L459:L464)</f>
        <v>704.2</v>
      </c>
      <c r="M457" s="32">
        <f>SUM(M459:M464)</f>
        <v>588.1037</v>
      </c>
      <c r="N457" s="32">
        <f t="shared" ref="N457:O457" si="162">SUM(N459:N464)</f>
        <v>704.2</v>
      </c>
      <c r="O457" s="32">
        <f t="shared" si="162"/>
        <v>704.2</v>
      </c>
      <c r="P457" s="8"/>
    </row>
    <row r="458" spans="1:16">
      <c r="A458" s="110"/>
      <c r="B458" s="113"/>
      <c r="C458" s="35" t="s">
        <v>17</v>
      </c>
      <c r="D458" s="32"/>
      <c r="E458" s="32"/>
      <c r="F458" s="32"/>
      <c r="G458" s="32"/>
      <c r="H458" s="32"/>
      <c r="I458" s="32"/>
      <c r="J458" s="32"/>
      <c r="K458" s="32"/>
      <c r="L458" s="32"/>
      <c r="M458" s="32"/>
      <c r="N458" s="32"/>
      <c r="O458" s="32"/>
      <c r="P458" s="8"/>
    </row>
    <row r="459" spans="1:16">
      <c r="A459" s="110"/>
      <c r="B459" s="113"/>
      <c r="C459" s="35" t="s">
        <v>18</v>
      </c>
      <c r="D459" s="32"/>
      <c r="E459" s="32"/>
      <c r="F459" s="32"/>
      <c r="G459" s="32"/>
      <c r="H459" s="32"/>
      <c r="I459" s="32"/>
      <c r="J459" s="32"/>
      <c r="K459" s="32"/>
      <c r="L459" s="32"/>
      <c r="M459" s="32"/>
      <c r="N459" s="32"/>
      <c r="O459" s="32"/>
      <c r="P459" s="8"/>
    </row>
    <row r="460" spans="1:16">
      <c r="A460" s="110"/>
      <c r="B460" s="113"/>
      <c r="C460" s="35" t="s">
        <v>19</v>
      </c>
      <c r="D460" s="32">
        <f>'приложение 9'!H383</f>
        <v>601</v>
      </c>
      <c r="E460" s="32">
        <f>'приложение 9'!I383</f>
        <v>595.38311999999996</v>
      </c>
      <c r="F460" s="32">
        <f>'приложение 9'!J383</f>
        <v>0</v>
      </c>
      <c r="G460" s="32">
        <f>'приложение 9'!K383</f>
        <v>0</v>
      </c>
      <c r="H460" s="32">
        <f>'приложение 9'!L383</f>
        <v>98.762879999999996</v>
      </c>
      <c r="I460" s="32">
        <f>'приложение 9'!M383</f>
        <v>98.762879999999996</v>
      </c>
      <c r="J460" s="32">
        <f>'приложение 9'!N383</f>
        <v>362.02643999999998</v>
      </c>
      <c r="K460" s="32">
        <f>'приложение 9'!O383</f>
        <v>362.02643999999998</v>
      </c>
      <c r="L460" s="32">
        <f>'приложение 9'!P383</f>
        <v>704.2</v>
      </c>
      <c r="M460" s="32">
        <f>'приложение 9'!Q383</f>
        <v>588.1037</v>
      </c>
      <c r="N460" s="32">
        <f>'приложение 9'!R383</f>
        <v>704.2</v>
      </c>
      <c r="O460" s="32">
        <f>'приложение 9'!S383</f>
        <v>704.2</v>
      </c>
      <c r="P460" s="8"/>
    </row>
    <row r="461" spans="1:16">
      <c r="A461" s="110"/>
      <c r="B461" s="113"/>
      <c r="C461" s="35" t="s">
        <v>20</v>
      </c>
      <c r="D461" s="7"/>
      <c r="E461" s="7"/>
      <c r="F461" s="7"/>
      <c r="G461" s="7"/>
      <c r="H461" s="7"/>
      <c r="I461" s="7"/>
      <c r="J461" s="7"/>
      <c r="K461" s="7"/>
      <c r="L461" s="32"/>
      <c r="M461" s="32"/>
      <c r="N461" s="32"/>
      <c r="O461" s="32"/>
      <c r="P461" s="8"/>
    </row>
    <row r="462" spans="1:16">
      <c r="A462" s="110"/>
      <c r="B462" s="113"/>
      <c r="C462" s="35" t="s">
        <v>21</v>
      </c>
      <c r="D462" s="7"/>
      <c r="E462" s="7"/>
      <c r="F462" s="7"/>
      <c r="G462" s="7"/>
      <c r="H462" s="7"/>
      <c r="I462" s="7"/>
      <c r="J462" s="7"/>
      <c r="K462" s="7"/>
      <c r="L462" s="32"/>
      <c r="M462" s="32"/>
      <c r="N462" s="32"/>
      <c r="O462" s="32"/>
      <c r="P462" s="8"/>
    </row>
    <row r="463" spans="1:16">
      <c r="A463" s="110"/>
      <c r="B463" s="113"/>
      <c r="C463" s="35" t="s">
        <v>22</v>
      </c>
      <c r="D463" s="7"/>
      <c r="E463" s="7"/>
      <c r="F463" s="7"/>
      <c r="G463" s="7"/>
      <c r="H463" s="7"/>
      <c r="I463" s="7"/>
      <c r="J463" s="7"/>
      <c r="K463" s="7"/>
      <c r="L463" s="32"/>
      <c r="M463" s="32"/>
      <c r="N463" s="32"/>
      <c r="O463" s="32"/>
      <c r="P463" s="8"/>
    </row>
    <row r="464" spans="1:16">
      <c r="A464" s="111"/>
      <c r="B464" s="114"/>
      <c r="C464" s="35" t="s">
        <v>23</v>
      </c>
      <c r="D464" s="7"/>
      <c r="E464" s="7"/>
      <c r="F464" s="7"/>
      <c r="G464" s="7"/>
      <c r="H464" s="7"/>
      <c r="I464" s="7"/>
      <c r="J464" s="7"/>
      <c r="K464" s="7"/>
      <c r="L464" s="32"/>
      <c r="M464" s="32"/>
      <c r="N464" s="32"/>
      <c r="O464" s="32"/>
      <c r="P464" s="8"/>
    </row>
    <row r="465" spans="1:16" ht="14.25" customHeight="1">
      <c r="A465" s="109" t="s">
        <v>711</v>
      </c>
      <c r="B465" s="112" t="s">
        <v>41</v>
      </c>
      <c r="C465" s="35" t="s">
        <v>16</v>
      </c>
      <c r="D465" s="32">
        <f t="shared" ref="D465:E465" si="163">SUM(D467:D472)</f>
        <v>0</v>
      </c>
      <c r="E465" s="32">
        <f t="shared" si="163"/>
        <v>0</v>
      </c>
      <c r="F465" s="32">
        <f t="shared" ref="F465:K465" si="164">SUM(F467:F472)</f>
        <v>0</v>
      </c>
      <c r="G465" s="32">
        <f t="shared" si="164"/>
        <v>0</v>
      </c>
      <c r="H465" s="32">
        <f t="shared" si="164"/>
        <v>0</v>
      </c>
      <c r="I465" s="32">
        <f t="shared" si="164"/>
        <v>0</v>
      </c>
      <c r="J465" s="32">
        <f t="shared" si="164"/>
        <v>11.2219</v>
      </c>
      <c r="K465" s="32">
        <f t="shared" si="164"/>
        <v>11.2219</v>
      </c>
      <c r="L465" s="32">
        <f>SUM(L467:L472)</f>
        <v>53.45476</v>
      </c>
      <c r="M465" s="32">
        <f>SUM(M467:M472)</f>
        <v>53.453760000000003</v>
      </c>
      <c r="N465" s="32">
        <f t="shared" ref="N465:O465" si="165">SUM(N467:N472)</f>
        <v>0</v>
      </c>
      <c r="O465" s="32">
        <f t="shared" si="165"/>
        <v>0</v>
      </c>
      <c r="P465" s="8"/>
    </row>
    <row r="466" spans="1:16">
      <c r="A466" s="110"/>
      <c r="B466" s="113"/>
      <c r="C466" s="35" t="s">
        <v>17</v>
      </c>
      <c r="D466" s="32"/>
      <c r="E466" s="32"/>
      <c r="F466" s="32"/>
      <c r="G466" s="32"/>
      <c r="H466" s="32"/>
      <c r="I466" s="32"/>
      <c r="J466" s="32"/>
      <c r="K466" s="32"/>
      <c r="L466" s="32"/>
      <c r="M466" s="32"/>
      <c r="N466" s="32"/>
      <c r="O466" s="32"/>
      <c r="P466" s="8"/>
    </row>
    <row r="467" spans="1:16">
      <c r="A467" s="110"/>
      <c r="B467" s="113"/>
      <c r="C467" s="35" t="s">
        <v>18</v>
      </c>
      <c r="D467" s="32"/>
      <c r="E467" s="32"/>
      <c r="F467" s="32"/>
      <c r="G467" s="32"/>
      <c r="H467" s="32"/>
      <c r="I467" s="32"/>
      <c r="J467" s="32"/>
      <c r="K467" s="32"/>
      <c r="L467" s="32"/>
      <c r="M467" s="32"/>
      <c r="N467" s="32"/>
      <c r="O467" s="32"/>
      <c r="P467" s="8"/>
    </row>
    <row r="468" spans="1:16">
      <c r="A468" s="110"/>
      <c r="B468" s="113"/>
      <c r="C468" s="35" t="s">
        <v>19</v>
      </c>
      <c r="D468" s="32"/>
      <c r="E468" s="32"/>
      <c r="F468" s="32"/>
      <c r="G468" s="32"/>
      <c r="H468" s="32"/>
      <c r="I468" s="32"/>
      <c r="J468" s="32"/>
      <c r="K468" s="32"/>
      <c r="L468" s="32"/>
      <c r="M468" s="32"/>
      <c r="N468" s="32"/>
      <c r="O468" s="32"/>
      <c r="P468" s="8"/>
    </row>
    <row r="469" spans="1:16">
      <c r="A469" s="110"/>
      <c r="B469" s="113"/>
      <c r="C469" s="35" t="s">
        <v>20</v>
      </c>
      <c r="D469" s="32">
        <f>'приложение 9'!H385</f>
        <v>0</v>
      </c>
      <c r="E469" s="32">
        <f>'приложение 9'!I385</f>
        <v>0</v>
      </c>
      <c r="F469" s="32">
        <f>'приложение 9'!J385</f>
        <v>0</v>
      </c>
      <c r="G469" s="32">
        <f>'приложение 9'!K385</f>
        <v>0</v>
      </c>
      <c r="H469" s="32">
        <f>'приложение 9'!L385</f>
        <v>0</v>
      </c>
      <c r="I469" s="32">
        <f>'приложение 9'!M385</f>
        <v>0</v>
      </c>
      <c r="J469" s="32">
        <f>'приложение 9'!N385</f>
        <v>11.2219</v>
      </c>
      <c r="K469" s="32">
        <f>'приложение 9'!O385</f>
        <v>11.2219</v>
      </c>
      <c r="L469" s="32">
        <f>'приложение 9'!P385</f>
        <v>53.45476</v>
      </c>
      <c r="M469" s="32">
        <f>'приложение 9'!Q385</f>
        <v>53.453760000000003</v>
      </c>
      <c r="N469" s="32">
        <f>'приложение 9'!R385</f>
        <v>0</v>
      </c>
      <c r="O469" s="32">
        <f>'приложение 9'!S385</f>
        <v>0</v>
      </c>
      <c r="P469" s="8"/>
    </row>
    <row r="470" spans="1:16">
      <c r="A470" s="110"/>
      <c r="B470" s="113"/>
      <c r="C470" s="35" t="s">
        <v>21</v>
      </c>
      <c r="D470" s="32"/>
      <c r="E470" s="32"/>
      <c r="F470" s="32"/>
      <c r="G470" s="32"/>
      <c r="H470" s="32"/>
      <c r="I470" s="32"/>
      <c r="J470" s="32"/>
      <c r="K470" s="32"/>
      <c r="L470" s="32"/>
      <c r="M470" s="32"/>
      <c r="N470" s="32"/>
      <c r="O470" s="32"/>
      <c r="P470" s="8"/>
    </row>
    <row r="471" spans="1:16">
      <c r="A471" s="110"/>
      <c r="B471" s="113"/>
      <c r="C471" s="35" t="s">
        <v>22</v>
      </c>
      <c r="D471" s="32"/>
      <c r="E471" s="32"/>
      <c r="F471" s="32"/>
      <c r="G471" s="32"/>
      <c r="H471" s="32"/>
      <c r="I471" s="32"/>
      <c r="J471" s="32"/>
      <c r="K471" s="32"/>
      <c r="L471" s="32"/>
      <c r="M471" s="32"/>
      <c r="N471" s="32"/>
      <c r="O471" s="32"/>
      <c r="P471" s="8"/>
    </row>
    <row r="472" spans="1:16">
      <c r="A472" s="111"/>
      <c r="B472" s="114"/>
      <c r="C472" s="35" t="s">
        <v>23</v>
      </c>
      <c r="D472" s="32"/>
      <c r="E472" s="32"/>
      <c r="F472" s="32"/>
      <c r="G472" s="32"/>
      <c r="H472" s="32"/>
      <c r="I472" s="32"/>
      <c r="J472" s="32"/>
      <c r="K472" s="32"/>
      <c r="L472" s="32"/>
      <c r="M472" s="32"/>
      <c r="N472" s="32"/>
      <c r="O472" s="32"/>
      <c r="P472" s="8"/>
    </row>
    <row r="473" spans="1:16" ht="14.25" customHeight="1">
      <c r="A473" s="109" t="s">
        <v>712</v>
      </c>
      <c r="B473" s="112" t="s">
        <v>680</v>
      </c>
      <c r="C473" s="68" t="s">
        <v>16</v>
      </c>
      <c r="D473" s="32">
        <f t="shared" ref="D473:K473" si="166">SUM(D475:D480)</f>
        <v>0</v>
      </c>
      <c r="E473" s="32">
        <f t="shared" si="166"/>
        <v>0</v>
      </c>
      <c r="F473" s="32">
        <f t="shared" si="166"/>
        <v>0</v>
      </c>
      <c r="G473" s="32">
        <f t="shared" si="166"/>
        <v>0</v>
      </c>
      <c r="H473" s="32">
        <f t="shared" si="166"/>
        <v>0</v>
      </c>
      <c r="I473" s="32">
        <f t="shared" si="166"/>
        <v>0</v>
      </c>
      <c r="J473" s="32">
        <f t="shared" si="166"/>
        <v>3</v>
      </c>
      <c r="K473" s="32">
        <f t="shared" si="166"/>
        <v>0</v>
      </c>
      <c r="L473" s="32">
        <f>SUM(L475:L480)</f>
        <v>3</v>
      </c>
      <c r="M473" s="32">
        <f>SUM(M475:M480)</f>
        <v>0</v>
      </c>
      <c r="N473" s="32">
        <f t="shared" ref="N473:O473" si="167">SUM(N475:N480)</f>
        <v>0</v>
      </c>
      <c r="O473" s="32">
        <f t="shared" si="167"/>
        <v>0</v>
      </c>
      <c r="P473" s="8"/>
    </row>
    <row r="474" spans="1:16">
      <c r="A474" s="110"/>
      <c r="B474" s="113"/>
      <c r="C474" s="68" t="s">
        <v>17</v>
      </c>
      <c r="D474" s="32"/>
      <c r="E474" s="32"/>
      <c r="F474" s="32"/>
      <c r="G474" s="32"/>
      <c r="H474" s="32"/>
      <c r="I474" s="32"/>
      <c r="J474" s="32"/>
      <c r="K474" s="32"/>
      <c r="L474" s="32"/>
      <c r="M474" s="32"/>
      <c r="N474" s="32"/>
      <c r="O474" s="32"/>
      <c r="P474" s="8"/>
    </row>
    <row r="475" spans="1:16">
      <c r="A475" s="110"/>
      <c r="B475" s="113"/>
      <c r="C475" s="68" t="s">
        <v>18</v>
      </c>
      <c r="D475" s="32"/>
      <c r="E475" s="32"/>
      <c r="F475" s="32"/>
      <c r="G475" s="32"/>
      <c r="H475" s="32"/>
      <c r="I475" s="32"/>
      <c r="J475" s="32"/>
      <c r="K475" s="32"/>
      <c r="L475" s="32"/>
      <c r="M475" s="32"/>
      <c r="N475" s="32"/>
      <c r="O475" s="32"/>
      <c r="P475" s="8"/>
    </row>
    <row r="476" spans="1:16">
      <c r="A476" s="110"/>
      <c r="B476" s="113"/>
      <c r="C476" s="68" t="s">
        <v>19</v>
      </c>
      <c r="D476" s="32"/>
      <c r="E476" s="32"/>
      <c r="F476" s="32"/>
      <c r="G476" s="32"/>
      <c r="H476" s="32"/>
      <c r="I476" s="32"/>
      <c r="J476" s="32"/>
      <c r="K476" s="32"/>
      <c r="L476" s="32"/>
      <c r="M476" s="32"/>
      <c r="N476" s="32"/>
      <c r="O476" s="32"/>
      <c r="P476" s="8"/>
    </row>
    <row r="477" spans="1:16">
      <c r="A477" s="110"/>
      <c r="B477" s="113"/>
      <c r="C477" s="68" t="s">
        <v>20</v>
      </c>
      <c r="D477" s="32">
        <f>'приложение 9'!H387</f>
        <v>0</v>
      </c>
      <c r="E477" s="32">
        <f>'приложение 9'!I387</f>
        <v>0</v>
      </c>
      <c r="F477" s="32">
        <f>'приложение 9'!J387</f>
        <v>0</v>
      </c>
      <c r="G477" s="32">
        <f>'приложение 9'!K387</f>
        <v>0</v>
      </c>
      <c r="H477" s="32">
        <f>'приложение 9'!L387</f>
        <v>0</v>
      </c>
      <c r="I477" s="32">
        <f>'приложение 9'!M387</f>
        <v>0</v>
      </c>
      <c r="J477" s="32">
        <f>'приложение 9'!N387</f>
        <v>3</v>
      </c>
      <c r="K477" s="32">
        <f>'приложение 9'!O387</f>
        <v>0</v>
      </c>
      <c r="L477" s="32">
        <f>'приложение 9'!P387</f>
        <v>3</v>
      </c>
      <c r="M477" s="32">
        <f>'приложение 9'!Q387</f>
        <v>0</v>
      </c>
      <c r="N477" s="32">
        <f>'приложение 9'!R387</f>
        <v>0</v>
      </c>
      <c r="O477" s="32">
        <f>'приложение 9'!S387</f>
        <v>0</v>
      </c>
      <c r="P477" s="8"/>
    </row>
    <row r="478" spans="1:16">
      <c r="A478" s="110"/>
      <c r="B478" s="113"/>
      <c r="C478" s="68" t="s">
        <v>21</v>
      </c>
      <c r="D478" s="32"/>
      <c r="E478" s="32"/>
      <c r="F478" s="32"/>
      <c r="G478" s="32"/>
      <c r="H478" s="32"/>
      <c r="I478" s="32"/>
      <c r="J478" s="32"/>
      <c r="K478" s="32"/>
      <c r="L478" s="32"/>
      <c r="M478" s="32"/>
      <c r="N478" s="32"/>
      <c r="O478" s="32"/>
      <c r="P478" s="8"/>
    </row>
    <row r="479" spans="1:16">
      <c r="A479" s="110"/>
      <c r="B479" s="113"/>
      <c r="C479" s="68" t="s">
        <v>22</v>
      </c>
      <c r="D479" s="32"/>
      <c r="E479" s="32"/>
      <c r="F479" s="32"/>
      <c r="G479" s="32"/>
      <c r="H479" s="32"/>
      <c r="I479" s="32"/>
      <c r="J479" s="32"/>
      <c r="K479" s="32"/>
      <c r="L479" s="32"/>
      <c r="M479" s="32"/>
      <c r="N479" s="32"/>
      <c r="O479" s="32"/>
      <c r="P479" s="8"/>
    </row>
    <row r="480" spans="1:16">
      <c r="A480" s="111"/>
      <c r="B480" s="114"/>
      <c r="C480" s="68" t="s">
        <v>23</v>
      </c>
      <c r="D480" s="32"/>
      <c r="E480" s="32"/>
      <c r="F480" s="32"/>
      <c r="G480" s="32"/>
      <c r="H480" s="32"/>
      <c r="I480" s="32"/>
      <c r="J480" s="32"/>
      <c r="K480" s="32"/>
      <c r="L480" s="32"/>
      <c r="M480" s="32"/>
      <c r="N480" s="32"/>
      <c r="O480" s="32"/>
      <c r="P480" s="8"/>
    </row>
    <row r="481" spans="1:16" ht="14.25" customHeight="1">
      <c r="A481" s="109" t="s">
        <v>713</v>
      </c>
      <c r="B481" s="112" t="s">
        <v>432</v>
      </c>
      <c r="C481" s="68" t="s">
        <v>16</v>
      </c>
      <c r="D481" s="32">
        <f t="shared" ref="D481:K481" si="168">SUM(D483:D488)</f>
        <v>200</v>
      </c>
      <c r="E481" s="32">
        <f t="shared" si="168"/>
        <v>200</v>
      </c>
      <c r="F481" s="32">
        <f t="shared" si="168"/>
        <v>0</v>
      </c>
      <c r="G481" s="32">
        <f t="shared" si="168"/>
        <v>0</v>
      </c>
      <c r="H481" s="32">
        <f t="shared" si="168"/>
        <v>0</v>
      </c>
      <c r="I481" s="32">
        <f t="shared" si="168"/>
        <v>0</v>
      </c>
      <c r="J481" s="32">
        <f t="shared" si="168"/>
        <v>0</v>
      </c>
      <c r="K481" s="32">
        <f t="shared" si="168"/>
        <v>0</v>
      </c>
      <c r="L481" s="32">
        <f>SUM(L483:L488)</f>
        <v>200</v>
      </c>
      <c r="M481" s="32">
        <f>SUM(M483:M488)</f>
        <v>200</v>
      </c>
      <c r="N481" s="32">
        <f t="shared" ref="N481:O481" si="169">SUM(N483:N488)</f>
        <v>200</v>
      </c>
      <c r="O481" s="32">
        <f t="shared" si="169"/>
        <v>200</v>
      </c>
      <c r="P481" s="8"/>
    </row>
    <row r="482" spans="1:16">
      <c r="A482" s="110"/>
      <c r="B482" s="113"/>
      <c r="C482" s="68" t="s">
        <v>17</v>
      </c>
      <c r="D482" s="32"/>
      <c r="E482" s="32"/>
      <c r="F482" s="32"/>
      <c r="G482" s="32"/>
      <c r="H482" s="32"/>
      <c r="I482" s="32"/>
      <c r="J482" s="32"/>
      <c r="K482" s="32"/>
      <c r="L482" s="32"/>
      <c r="M482" s="32"/>
      <c r="N482" s="32"/>
      <c r="O482" s="32"/>
      <c r="P482" s="8"/>
    </row>
    <row r="483" spans="1:16">
      <c r="A483" s="110"/>
      <c r="B483" s="113"/>
      <c r="C483" s="68" t="s">
        <v>18</v>
      </c>
      <c r="D483" s="32"/>
      <c r="E483" s="32"/>
      <c r="F483" s="32"/>
      <c r="G483" s="32"/>
      <c r="H483" s="32"/>
      <c r="I483" s="32"/>
      <c r="J483" s="32"/>
      <c r="K483" s="32"/>
      <c r="L483" s="32"/>
      <c r="M483" s="32"/>
      <c r="N483" s="32"/>
      <c r="O483" s="32"/>
      <c r="P483" s="8"/>
    </row>
    <row r="484" spans="1:16">
      <c r="A484" s="110"/>
      <c r="B484" s="113"/>
      <c r="C484" s="68" t="s">
        <v>19</v>
      </c>
      <c r="D484" s="32"/>
      <c r="E484" s="32"/>
      <c r="F484" s="32"/>
      <c r="G484" s="32"/>
      <c r="H484" s="32"/>
      <c r="I484" s="32"/>
      <c r="J484" s="32"/>
      <c r="K484" s="32"/>
      <c r="L484" s="32"/>
      <c r="M484" s="32"/>
      <c r="N484" s="32"/>
      <c r="O484" s="32"/>
      <c r="P484" s="8"/>
    </row>
    <row r="485" spans="1:16">
      <c r="A485" s="110"/>
      <c r="B485" s="113"/>
      <c r="C485" s="68" t="s">
        <v>20</v>
      </c>
      <c r="D485" s="32">
        <f>'приложение 9'!H389</f>
        <v>200</v>
      </c>
      <c r="E485" s="32">
        <f>'приложение 9'!I389</f>
        <v>200</v>
      </c>
      <c r="F485" s="32">
        <f>'приложение 9'!J389</f>
        <v>0</v>
      </c>
      <c r="G485" s="32">
        <f>'приложение 9'!K389</f>
        <v>0</v>
      </c>
      <c r="H485" s="32">
        <f>'приложение 9'!L389</f>
        <v>0</v>
      </c>
      <c r="I485" s="32">
        <f>'приложение 9'!M389</f>
        <v>0</v>
      </c>
      <c r="J485" s="32">
        <f>'приложение 9'!N389</f>
        <v>0</v>
      </c>
      <c r="K485" s="32">
        <f>'приложение 9'!O389</f>
        <v>0</v>
      </c>
      <c r="L485" s="32">
        <f>'приложение 9'!P389</f>
        <v>200</v>
      </c>
      <c r="M485" s="32">
        <f>'приложение 9'!Q389</f>
        <v>200</v>
      </c>
      <c r="N485" s="32">
        <f>'приложение 9'!R389</f>
        <v>200</v>
      </c>
      <c r="O485" s="32">
        <f>'приложение 9'!S389</f>
        <v>200</v>
      </c>
      <c r="P485" s="8"/>
    </row>
    <row r="486" spans="1:16">
      <c r="A486" s="110"/>
      <c r="B486" s="113"/>
      <c r="C486" s="68" t="s">
        <v>21</v>
      </c>
      <c r="D486" s="32"/>
      <c r="E486" s="32"/>
      <c r="F486" s="32"/>
      <c r="G486" s="32"/>
      <c r="H486" s="32"/>
      <c r="I486" s="32"/>
      <c r="J486" s="32"/>
      <c r="K486" s="32"/>
      <c r="L486" s="32"/>
      <c r="M486" s="32"/>
      <c r="N486" s="32"/>
      <c r="O486" s="32"/>
      <c r="P486" s="8"/>
    </row>
    <row r="487" spans="1:16">
      <c r="A487" s="110"/>
      <c r="B487" s="113"/>
      <c r="C487" s="68" t="s">
        <v>22</v>
      </c>
      <c r="D487" s="32"/>
      <c r="E487" s="32"/>
      <c r="F487" s="32"/>
      <c r="G487" s="32"/>
      <c r="H487" s="32"/>
      <c r="I487" s="32"/>
      <c r="J487" s="32"/>
      <c r="K487" s="32"/>
      <c r="L487" s="32"/>
      <c r="M487" s="32"/>
      <c r="N487" s="32"/>
      <c r="O487" s="32"/>
      <c r="P487" s="8"/>
    </row>
    <row r="488" spans="1:16">
      <c r="A488" s="111"/>
      <c r="B488" s="114"/>
      <c r="C488" s="68" t="s">
        <v>23</v>
      </c>
      <c r="D488" s="32"/>
      <c r="E488" s="32"/>
      <c r="F488" s="32"/>
      <c r="G488" s="32"/>
      <c r="H488" s="32"/>
      <c r="I488" s="32"/>
      <c r="J488" s="32"/>
      <c r="K488" s="32"/>
      <c r="L488" s="32"/>
      <c r="M488" s="32"/>
      <c r="N488" s="32"/>
      <c r="O488" s="32"/>
      <c r="P488" s="8"/>
    </row>
    <row r="489" spans="1:16" ht="14.25" customHeight="1">
      <c r="A489" s="109" t="s">
        <v>719</v>
      </c>
      <c r="B489" s="112" t="s">
        <v>434</v>
      </c>
      <c r="C489" s="35" t="s">
        <v>16</v>
      </c>
      <c r="D489" s="32">
        <f t="shared" ref="D489:E489" si="170">SUM(D491:D496)</f>
        <v>1.1000000000000001</v>
      </c>
      <c r="E489" s="32">
        <f t="shared" si="170"/>
        <v>1.0281800000000001</v>
      </c>
      <c r="F489" s="32">
        <f t="shared" ref="F489:K489" si="171">SUM(F491:F496)</f>
        <v>0</v>
      </c>
      <c r="G489" s="32">
        <f t="shared" si="171"/>
        <v>0</v>
      </c>
      <c r="H489" s="32">
        <f t="shared" si="171"/>
        <v>0</v>
      </c>
      <c r="I489" s="32">
        <f t="shared" si="171"/>
        <v>0</v>
      </c>
      <c r="J489" s="32">
        <f t="shared" si="171"/>
        <v>1.2</v>
      </c>
      <c r="K489" s="32">
        <f t="shared" si="171"/>
        <v>1.16554</v>
      </c>
      <c r="L489" s="32">
        <f>SUM(L491:L496)</f>
        <v>1.2</v>
      </c>
      <c r="M489" s="32">
        <f>SUM(M491:M496)</f>
        <v>1.16554</v>
      </c>
      <c r="N489" s="32">
        <f t="shared" ref="N489:O489" si="172">SUM(N491:N496)</f>
        <v>1.4</v>
      </c>
      <c r="O489" s="32">
        <f t="shared" si="172"/>
        <v>1.4</v>
      </c>
      <c r="P489" s="8"/>
    </row>
    <row r="490" spans="1:16">
      <c r="A490" s="110"/>
      <c r="B490" s="113"/>
      <c r="C490" s="35" t="s">
        <v>17</v>
      </c>
      <c r="D490" s="32"/>
      <c r="E490" s="32"/>
      <c r="F490" s="32"/>
      <c r="G490" s="32"/>
      <c r="H490" s="32"/>
      <c r="I490" s="32"/>
      <c r="J490" s="32"/>
      <c r="K490" s="32"/>
      <c r="L490" s="32"/>
      <c r="M490" s="32"/>
      <c r="N490" s="32"/>
      <c r="O490" s="32"/>
      <c r="P490" s="8"/>
    </row>
    <row r="491" spans="1:16">
      <c r="A491" s="110"/>
      <c r="B491" s="113"/>
      <c r="C491" s="35" t="s">
        <v>18</v>
      </c>
      <c r="D491" s="32"/>
      <c r="E491" s="32"/>
      <c r="F491" s="32"/>
      <c r="G491" s="32"/>
      <c r="H491" s="32"/>
      <c r="I491" s="32"/>
      <c r="J491" s="32"/>
      <c r="K491" s="32"/>
      <c r="L491" s="32"/>
      <c r="M491" s="32"/>
      <c r="N491" s="32"/>
      <c r="O491" s="32"/>
      <c r="P491" s="8"/>
    </row>
    <row r="492" spans="1:16">
      <c r="A492" s="110"/>
      <c r="B492" s="113"/>
      <c r="C492" s="35" t="s">
        <v>19</v>
      </c>
      <c r="D492" s="32"/>
      <c r="E492" s="32"/>
      <c r="F492" s="32"/>
      <c r="G492" s="32"/>
      <c r="H492" s="32"/>
      <c r="I492" s="32"/>
      <c r="J492" s="32"/>
      <c r="K492" s="32"/>
      <c r="L492" s="32"/>
      <c r="M492" s="32"/>
      <c r="N492" s="32"/>
      <c r="O492" s="32"/>
      <c r="P492" s="8"/>
    </row>
    <row r="493" spans="1:16">
      <c r="A493" s="110"/>
      <c r="B493" s="113"/>
      <c r="C493" s="35" t="s">
        <v>20</v>
      </c>
      <c r="D493" s="32">
        <f>'приложение 9'!H391</f>
        <v>1.1000000000000001</v>
      </c>
      <c r="E493" s="32">
        <f>'приложение 9'!I391</f>
        <v>1.0281800000000001</v>
      </c>
      <c r="F493" s="32">
        <f>'приложение 9'!J391</f>
        <v>0</v>
      </c>
      <c r="G493" s="32">
        <f>'приложение 9'!K391</f>
        <v>0</v>
      </c>
      <c r="H493" s="32">
        <f>'приложение 9'!L391</f>
        <v>0</v>
      </c>
      <c r="I493" s="32">
        <f>'приложение 9'!M391</f>
        <v>0</v>
      </c>
      <c r="J493" s="32">
        <f>'приложение 9'!N391</f>
        <v>1.2</v>
      </c>
      <c r="K493" s="32">
        <f>'приложение 9'!O391</f>
        <v>1.16554</v>
      </c>
      <c r="L493" s="32">
        <f>'приложение 9'!P391</f>
        <v>1.2</v>
      </c>
      <c r="M493" s="32">
        <f>'приложение 9'!Q391</f>
        <v>1.16554</v>
      </c>
      <c r="N493" s="32">
        <f>'приложение 9'!R391</f>
        <v>1.4</v>
      </c>
      <c r="O493" s="32">
        <f>'приложение 9'!S391</f>
        <v>1.4</v>
      </c>
      <c r="P493" s="8"/>
    </row>
    <row r="494" spans="1:16">
      <c r="A494" s="110"/>
      <c r="B494" s="113"/>
      <c r="C494" s="35" t="s">
        <v>21</v>
      </c>
      <c r="D494" s="7"/>
      <c r="E494" s="7"/>
      <c r="F494" s="7"/>
      <c r="G494" s="7"/>
      <c r="H494" s="7"/>
      <c r="I494" s="7"/>
      <c r="J494" s="7"/>
      <c r="K494" s="7"/>
      <c r="L494" s="32"/>
      <c r="M494" s="32"/>
      <c r="N494" s="32"/>
      <c r="O494" s="32"/>
      <c r="P494" s="8"/>
    </row>
    <row r="495" spans="1:16">
      <c r="A495" s="110"/>
      <c r="B495" s="113"/>
      <c r="C495" s="35" t="s">
        <v>22</v>
      </c>
      <c r="D495" s="7"/>
      <c r="E495" s="7"/>
      <c r="F495" s="7"/>
      <c r="G495" s="7"/>
      <c r="H495" s="7"/>
      <c r="I495" s="7"/>
      <c r="J495" s="7"/>
      <c r="K495" s="7"/>
      <c r="L495" s="32"/>
      <c r="M495" s="32"/>
      <c r="N495" s="8"/>
      <c r="O495" s="8"/>
      <c r="P495" s="8"/>
    </row>
    <row r="496" spans="1:16">
      <c r="A496" s="111"/>
      <c r="B496" s="114"/>
      <c r="C496" s="35" t="s">
        <v>23</v>
      </c>
      <c r="D496" s="7"/>
      <c r="E496" s="7"/>
      <c r="F496" s="7"/>
      <c r="G496" s="7"/>
      <c r="H496" s="7"/>
      <c r="I496" s="7"/>
      <c r="J496" s="7"/>
      <c r="K496" s="7"/>
      <c r="L496" s="32"/>
      <c r="M496" s="32"/>
      <c r="N496" s="8"/>
      <c r="O496" s="8"/>
      <c r="P496" s="8"/>
    </row>
    <row r="497" spans="1:16" ht="14.25" customHeight="1">
      <c r="A497" s="109" t="s">
        <v>717</v>
      </c>
      <c r="B497" s="112" t="s">
        <v>720</v>
      </c>
      <c r="C497" s="68" t="s">
        <v>16</v>
      </c>
      <c r="D497" s="32">
        <f t="shared" ref="D497:K497" si="173">SUM(D499:D504)</f>
        <v>0</v>
      </c>
      <c r="E497" s="32">
        <f t="shared" si="173"/>
        <v>0</v>
      </c>
      <c r="F497" s="32">
        <f t="shared" si="173"/>
        <v>0</v>
      </c>
      <c r="G497" s="32">
        <f t="shared" si="173"/>
        <v>0</v>
      </c>
      <c r="H497" s="32">
        <f t="shared" si="173"/>
        <v>0</v>
      </c>
      <c r="I497" s="32">
        <f>SUM(I499:I504)</f>
        <v>0</v>
      </c>
      <c r="J497" s="32">
        <f t="shared" si="173"/>
        <v>0</v>
      </c>
      <c r="K497" s="32">
        <f t="shared" si="173"/>
        <v>0</v>
      </c>
      <c r="L497" s="32">
        <f>SUM(L499:L504)</f>
        <v>705.096</v>
      </c>
      <c r="M497" s="32">
        <f>SUM(M499:M504)</f>
        <v>618.48080000000004</v>
      </c>
      <c r="N497" s="32">
        <f t="shared" ref="N497:O497" si="174">SUM(N499:N504)</f>
        <v>0</v>
      </c>
      <c r="O497" s="32">
        <f t="shared" si="174"/>
        <v>0</v>
      </c>
      <c r="P497" s="8"/>
    </row>
    <row r="498" spans="1:16">
      <c r="A498" s="110"/>
      <c r="B498" s="113"/>
      <c r="C498" s="68" t="s">
        <v>17</v>
      </c>
      <c r="D498" s="32"/>
      <c r="E498" s="32"/>
      <c r="F498" s="32"/>
      <c r="G498" s="32"/>
      <c r="H498" s="32"/>
      <c r="I498" s="32"/>
      <c r="J498" s="32"/>
      <c r="K498" s="32"/>
      <c r="L498" s="32"/>
      <c r="M498" s="32"/>
      <c r="N498" s="32"/>
      <c r="O498" s="32"/>
      <c r="P498" s="8"/>
    </row>
    <row r="499" spans="1:16">
      <c r="A499" s="110"/>
      <c r="B499" s="113"/>
      <c r="C499" s="68" t="s">
        <v>18</v>
      </c>
      <c r="D499" s="32"/>
      <c r="E499" s="32"/>
      <c r="F499" s="32"/>
      <c r="G499" s="32"/>
      <c r="H499" s="32"/>
      <c r="I499" s="32"/>
      <c r="J499" s="32"/>
      <c r="K499" s="32"/>
      <c r="L499" s="32"/>
      <c r="M499" s="32"/>
      <c r="N499" s="32"/>
      <c r="O499" s="32"/>
      <c r="P499" s="8"/>
    </row>
    <row r="500" spans="1:16">
      <c r="A500" s="110"/>
      <c r="B500" s="113"/>
      <c r="C500" s="68" t="s">
        <v>19</v>
      </c>
      <c r="D500" s="32"/>
      <c r="E500" s="32"/>
      <c r="F500" s="32"/>
      <c r="G500" s="32"/>
      <c r="H500" s="32"/>
      <c r="I500" s="32"/>
      <c r="J500" s="32"/>
      <c r="K500" s="32"/>
      <c r="L500" s="32"/>
      <c r="M500" s="32"/>
      <c r="N500" s="32"/>
      <c r="O500" s="32"/>
      <c r="P500" s="8"/>
    </row>
    <row r="501" spans="1:16">
      <c r="A501" s="110"/>
      <c r="B501" s="113"/>
      <c r="C501" s="68" t="s">
        <v>20</v>
      </c>
      <c r="D501" s="32">
        <f>'приложение 9'!H393</f>
        <v>0</v>
      </c>
      <c r="E501" s="32">
        <f>'приложение 9'!I393</f>
        <v>0</v>
      </c>
      <c r="F501" s="32">
        <f>'приложение 9'!J393</f>
        <v>0</v>
      </c>
      <c r="G501" s="32">
        <f>'приложение 9'!K393</f>
        <v>0</v>
      </c>
      <c r="H501" s="32">
        <f>'приложение 9'!L393</f>
        <v>0</v>
      </c>
      <c r="I501" s="32">
        <f>'приложение 9'!M393</f>
        <v>0</v>
      </c>
      <c r="J501" s="32">
        <f>'приложение 9'!N393</f>
        <v>0</v>
      </c>
      <c r="K501" s="32">
        <f>'приложение 9'!O393</f>
        <v>0</v>
      </c>
      <c r="L501" s="32">
        <f>'приложение 9'!P393</f>
        <v>705.096</v>
      </c>
      <c r="M501" s="32">
        <f>'приложение 9'!Q393</f>
        <v>618.48080000000004</v>
      </c>
      <c r="N501" s="32">
        <f>'приложение 9'!R393</f>
        <v>0</v>
      </c>
      <c r="O501" s="32">
        <f>'приложение 9'!S393</f>
        <v>0</v>
      </c>
      <c r="P501" s="8"/>
    </row>
    <row r="502" spans="1:16">
      <c r="A502" s="110"/>
      <c r="B502" s="113"/>
      <c r="C502" s="68" t="s">
        <v>21</v>
      </c>
      <c r="D502" s="7"/>
      <c r="E502" s="7"/>
      <c r="F502" s="7"/>
      <c r="G502" s="7"/>
      <c r="H502" s="7"/>
      <c r="I502" s="7"/>
      <c r="J502" s="7"/>
      <c r="K502" s="7"/>
      <c r="L502" s="32"/>
      <c r="M502" s="32"/>
      <c r="N502" s="32"/>
      <c r="O502" s="32"/>
      <c r="P502" s="8"/>
    </row>
    <row r="503" spans="1:16">
      <c r="A503" s="110"/>
      <c r="B503" s="113"/>
      <c r="C503" s="68" t="s">
        <v>22</v>
      </c>
      <c r="D503" s="7"/>
      <c r="E503" s="7"/>
      <c r="F503" s="7"/>
      <c r="G503" s="7"/>
      <c r="H503" s="7"/>
      <c r="I503" s="7"/>
      <c r="J503" s="7"/>
      <c r="K503" s="7"/>
      <c r="L503" s="32"/>
      <c r="M503" s="32"/>
      <c r="N503" s="8"/>
      <c r="O503" s="8"/>
      <c r="P503" s="8"/>
    </row>
    <row r="504" spans="1:16">
      <c r="A504" s="111"/>
      <c r="B504" s="114"/>
      <c r="C504" s="68" t="s">
        <v>23</v>
      </c>
      <c r="D504" s="7"/>
      <c r="E504" s="7"/>
      <c r="F504" s="7"/>
      <c r="G504" s="7"/>
      <c r="H504" s="7"/>
      <c r="I504" s="7"/>
      <c r="J504" s="7"/>
      <c r="K504" s="7"/>
      <c r="L504" s="32"/>
      <c r="M504" s="32"/>
      <c r="N504" s="8"/>
      <c r="O504" s="8"/>
      <c r="P504" s="8"/>
    </row>
    <row r="505" spans="1:16" ht="13.5" customHeight="1">
      <c r="A505" s="107" t="s">
        <v>15</v>
      </c>
      <c r="B505" s="108" t="s">
        <v>549</v>
      </c>
      <c r="C505" s="11" t="s">
        <v>16</v>
      </c>
      <c r="D505" s="39">
        <f t="shared" ref="D505:E505" si="175">SUM(D507:D514)</f>
        <v>12615.800000000001</v>
      </c>
      <c r="E505" s="39">
        <f t="shared" si="175"/>
        <v>11596.37816</v>
      </c>
      <c r="F505" s="36">
        <f t="shared" ref="F505:K505" si="176">SUM(F507:F514)</f>
        <v>2617.2307099999998</v>
      </c>
      <c r="G505" s="36">
        <f t="shared" si="176"/>
        <v>2615.7695899999999</v>
      </c>
      <c r="H505" s="36">
        <f t="shared" si="176"/>
        <v>7845.9085999999998</v>
      </c>
      <c r="I505" s="36">
        <f t="shared" si="176"/>
        <v>7845.9085999999998</v>
      </c>
      <c r="J505" s="36">
        <f>SUM(J507:J514)</f>
        <v>14880.4622</v>
      </c>
      <c r="K505" s="36">
        <f t="shared" si="176"/>
        <v>10928.8802</v>
      </c>
      <c r="L505" s="36">
        <f>SUM(L507:L514)</f>
        <v>21884.251</v>
      </c>
      <c r="M505" s="36">
        <f>SUM(M507:M514)</f>
        <v>18500.967819999998</v>
      </c>
      <c r="N505" s="36">
        <f t="shared" ref="N505:O505" si="177">SUM(N507:N514)</f>
        <v>12222.609</v>
      </c>
      <c r="O505" s="36">
        <f t="shared" si="177"/>
        <v>12216.362000000001</v>
      </c>
      <c r="P505" s="5"/>
    </row>
    <row r="506" spans="1:16">
      <c r="A506" s="107"/>
      <c r="B506" s="108"/>
      <c r="C506" s="11" t="s">
        <v>17</v>
      </c>
      <c r="D506" s="41"/>
      <c r="E506" s="41"/>
      <c r="F506" s="37"/>
      <c r="G506" s="37"/>
      <c r="H506" s="37"/>
      <c r="I506" s="37"/>
      <c r="J506" s="37"/>
      <c r="K506" s="37"/>
      <c r="L506" s="30"/>
      <c r="M506" s="30"/>
      <c r="N506" s="3"/>
      <c r="O506" s="3"/>
      <c r="P506" s="5"/>
    </row>
    <row r="507" spans="1:16">
      <c r="A507" s="107"/>
      <c r="B507" s="108"/>
      <c r="C507" s="11" t="s">
        <v>18</v>
      </c>
      <c r="D507" s="31"/>
      <c r="E507" s="31"/>
      <c r="F507" s="31"/>
      <c r="G507" s="31"/>
      <c r="H507" s="31"/>
      <c r="I507" s="31"/>
      <c r="J507" s="31"/>
      <c r="K507" s="31"/>
      <c r="L507" s="31"/>
      <c r="M507" s="31"/>
      <c r="N507" s="6"/>
      <c r="O507" s="6"/>
      <c r="P507" s="6"/>
    </row>
    <row r="508" spans="1:16">
      <c r="A508" s="107"/>
      <c r="B508" s="108"/>
      <c r="C508" s="11" t="s">
        <v>19</v>
      </c>
      <c r="D508" s="32">
        <f>D518+D528+D536</f>
        <v>23.4</v>
      </c>
      <c r="E508" s="32">
        <f t="shared" ref="E508:O508" si="178">E518+E528+E536</f>
        <v>23.4</v>
      </c>
      <c r="F508" s="32">
        <f t="shared" si="178"/>
        <v>0</v>
      </c>
      <c r="G508" s="32">
        <f t="shared" si="178"/>
        <v>0</v>
      </c>
      <c r="H508" s="32">
        <f t="shared" si="178"/>
        <v>0</v>
      </c>
      <c r="I508" s="32">
        <f t="shared" si="178"/>
        <v>0</v>
      </c>
      <c r="J508" s="32">
        <f t="shared" si="178"/>
        <v>3951.5819999999999</v>
      </c>
      <c r="K508" s="32">
        <f t="shared" si="178"/>
        <v>0</v>
      </c>
      <c r="L508" s="32">
        <f t="shared" si="178"/>
        <v>6293.3</v>
      </c>
      <c r="M508" s="32">
        <f t="shared" si="178"/>
        <v>3951.5819999999999</v>
      </c>
      <c r="N508" s="32">
        <f t="shared" si="178"/>
        <v>0</v>
      </c>
      <c r="O508" s="32">
        <f t="shared" si="178"/>
        <v>0</v>
      </c>
      <c r="P508" s="8"/>
    </row>
    <row r="509" spans="1:16" ht="26.4">
      <c r="A509" s="107"/>
      <c r="B509" s="108"/>
      <c r="C509" s="35" t="s">
        <v>553</v>
      </c>
      <c r="D509" s="32">
        <f>D519</f>
        <v>1169.8</v>
      </c>
      <c r="E509" s="32">
        <f t="shared" ref="E509" si="179">E519</f>
        <v>1169.8</v>
      </c>
      <c r="F509" s="32">
        <f t="shared" ref="F509:K509" si="180">F519</f>
        <v>0</v>
      </c>
      <c r="G509" s="32">
        <f t="shared" si="180"/>
        <v>0</v>
      </c>
      <c r="H509" s="32">
        <f t="shared" si="180"/>
        <v>1834.6959999999999</v>
      </c>
      <c r="I509" s="32">
        <f t="shared" si="180"/>
        <v>1834.6959999999999</v>
      </c>
      <c r="J509" s="32">
        <f t="shared" si="180"/>
        <v>1834.6959999999999</v>
      </c>
      <c r="K509" s="32">
        <f t="shared" si="180"/>
        <v>1834.6959999999999</v>
      </c>
      <c r="L509" s="32">
        <f>L519</f>
        <v>2417.1999999999998</v>
      </c>
      <c r="M509" s="32">
        <f>M519</f>
        <v>2417.1999999999998</v>
      </c>
      <c r="N509" s="32">
        <f t="shared" ref="N509:O509" si="181">N519</f>
        <v>0</v>
      </c>
      <c r="O509" s="32">
        <f t="shared" si="181"/>
        <v>0</v>
      </c>
      <c r="P509" s="8"/>
    </row>
    <row r="510" spans="1:16" ht="26.4">
      <c r="A510" s="107"/>
      <c r="B510" s="108"/>
      <c r="C510" s="35" t="s">
        <v>554</v>
      </c>
      <c r="D510" s="32">
        <f>D520</f>
        <v>31.4</v>
      </c>
      <c r="E510" s="32">
        <f t="shared" ref="E510:O510" si="182">E520</f>
        <v>9.42</v>
      </c>
      <c r="F510" s="32">
        <f t="shared" si="182"/>
        <v>5.1521299999999997</v>
      </c>
      <c r="G510" s="32">
        <f t="shared" si="182"/>
        <v>5.1521299999999997</v>
      </c>
      <c r="H510" s="32">
        <f t="shared" si="182"/>
        <v>11.09318</v>
      </c>
      <c r="I510" s="32">
        <f t="shared" si="182"/>
        <v>11.09318</v>
      </c>
      <c r="J510" s="32">
        <f t="shared" si="182"/>
        <v>17.346060000000001</v>
      </c>
      <c r="K510" s="32">
        <f t="shared" si="182"/>
        <v>17.346060000000001</v>
      </c>
      <c r="L510" s="32">
        <f t="shared" si="182"/>
        <v>26.210999999999999</v>
      </c>
      <c r="M510" s="32">
        <f t="shared" si="182"/>
        <v>21.98</v>
      </c>
      <c r="N510" s="32">
        <f t="shared" si="182"/>
        <v>31.151</v>
      </c>
      <c r="O510" s="32">
        <f t="shared" si="182"/>
        <v>24.904</v>
      </c>
      <c r="P510" s="8"/>
    </row>
    <row r="511" spans="1:16">
      <c r="A511" s="107"/>
      <c r="B511" s="108"/>
      <c r="C511" s="11" t="s">
        <v>20</v>
      </c>
      <c r="D511" s="32">
        <f>D521+D529+D537</f>
        <v>11391.2</v>
      </c>
      <c r="E511" s="32">
        <f t="shared" ref="E511:O511" si="183">E521+E529+E537</f>
        <v>10393.758159999999</v>
      </c>
      <c r="F511" s="32">
        <f t="shared" si="183"/>
        <v>2612.0785799999999</v>
      </c>
      <c r="G511" s="32">
        <f t="shared" si="183"/>
        <v>2610.6174599999999</v>
      </c>
      <c r="H511" s="32">
        <f t="shared" si="183"/>
        <v>6000.11942</v>
      </c>
      <c r="I511" s="32">
        <f t="shared" si="183"/>
        <v>6000.11942</v>
      </c>
      <c r="J511" s="32">
        <f t="shared" si="183"/>
        <v>9076.8381399999998</v>
      </c>
      <c r="K511" s="32">
        <f t="shared" si="183"/>
        <v>9076.8381399999998</v>
      </c>
      <c r="L511" s="32">
        <f t="shared" si="183"/>
        <v>13147.54</v>
      </c>
      <c r="M511" s="32">
        <f t="shared" si="183"/>
        <v>12110.205819999999</v>
      </c>
      <c r="N511" s="32">
        <f t="shared" si="183"/>
        <v>12191.458000000001</v>
      </c>
      <c r="O511" s="32">
        <f t="shared" si="183"/>
        <v>12191.458000000001</v>
      </c>
      <c r="P511" s="8"/>
    </row>
    <row r="512" spans="1:16">
      <c r="A512" s="107"/>
      <c r="B512" s="108"/>
      <c r="C512" s="11" t="s">
        <v>21</v>
      </c>
      <c r="D512" s="32"/>
      <c r="E512" s="32"/>
      <c r="F512" s="32"/>
      <c r="G512" s="32"/>
      <c r="H512" s="32"/>
      <c r="I512" s="32"/>
      <c r="J512" s="32"/>
      <c r="K512" s="32"/>
      <c r="L512" s="32"/>
      <c r="M512" s="32"/>
      <c r="N512" s="32"/>
      <c r="O512" s="32"/>
      <c r="P512" s="8"/>
    </row>
    <row r="513" spans="1:16">
      <c r="A513" s="107"/>
      <c r="B513" s="108"/>
      <c r="C513" s="11" t="s">
        <v>22</v>
      </c>
      <c r="D513" s="32"/>
      <c r="E513" s="32"/>
      <c r="F513" s="32"/>
      <c r="G513" s="32"/>
      <c r="H513" s="32"/>
      <c r="I513" s="32"/>
      <c r="J513" s="32"/>
      <c r="K513" s="32"/>
      <c r="L513" s="32"/>
      <c r="M513" s="32"/>
      <c r="N513" s="32"/>
      <c r="O513" s="32"/>
      <c r="P513" s="8"/>
    </row>
    <row r="514" spans="1:16">
      <c r="A514" s="107"/>
      <c r="B514" s="108"/>
      <c r="C514" s="11" t="s">
        <v>23</v>
      </c>
      <c r="D514" s="32"/>
      <c r="E514" s="32"/>
      <c r="F514" s="32"/>
      <c r="G514" s="32"/>
      <c r="H514" s="32"/>
      <c r="I514" s="32"/>
      <c r="J514" s="32"/>
      <c r="K514" s="32"/>
      <c r="L514" s="32"/>
      <c r="M514" s="32"/>
      <c r="N514" s="32"/>
      <c r="O514" s="32"/>
      <c r="P514" s="8"/>
    </row>
    <row r="515" spans="1:16" ht="13.5" customHeight="1">
      <c r="A515" s="106" t="s">
        <v>25</v>
      </c>
      <c r="B515" s="106" t="s">
        <v>550</v>
      </c>
      <c r="C515" s="11" t="s">
        <v>16</v>
      </c>
      <c r="D515" s="32">
        <f t="shared" ref="D515:E515" si="184">SUM(D517:D524)</f>
        <v>1201.2</v>
      </c>
      <c r="E515" s="32">
        <f t="shared" si="184"/>
        <v>1179.22</v>
      </c>
      <c r="F515" s="32">
        <f t="shared" ref="F515:K515" si="185">SUM(F517:F524)</f>
        <v>5.1521299999999997</v>
      </c>
      <c r="G515" s="32">
        <f t="shared" si="185"/>
        <v>5.1521299999999997</v>
      </c>
      <c r="H515" s="32">
        <f t="shared" si="185"/>
        <v>1845.78918</v>
      </c>
      <c r="I515" s="32">
        <f t="shared" si="185"/>
        <v>1845.78918</v>
      </c>
      <c r="J515" s="32">
        <f t="shared" si="185"/>
        <v>5710.6240600000001</v>
      </c>
      <c r="K515" s="32">
        <f t="shared" si="185"/>
        <v>1852.04206</v>
      </c>
      <c r="L515" s="32">
        <f>SUM(L517:L524)</f>
        <v>8643.7109999999993</v>
      </c>
      <c r="M515" s="32">
        <f>SUM(M517:M524)</f>
        <v>6297.7619999999988</v>
      </c>
      <c r="N515" s="32">
        <f t="shared" ref="N515:O515" si="186">SUM(N517:N524)</f>
        <v>31.151</v>
      </c>
      <c r="O515" s="32">
        <f t="shared" si="186"/>
        <v>24.904</v>
      </c>
      <c r="P515" s="8"/>
    </row>
    <row r="516" spans="1:16">
      <c r="A516" s="106"/>
      <c r="B516" s="106"/>
      <c r="C516" s="11" t="s">
        <v>17</v>
      </c>
      <c r="D516" s="32"/>
      <c r="E516" s="32"/>
      <c r="F516" s="32"/>
      <c r="G516" s="32"/>
      <c r="H516" s="32"/>
      <c r="I516" s="32"/>
      <c r="J516" s="32"/>
      <c r="K516" s="32"/>
      <c r="L516" s="32"/>
      <c r="M516" s="32"/>
      <c r="N516" s="32"/>
      <c r="O516" s="32"/>
      <c r="P516" s="8"/>
    </row>
    <row r="517" spans="1:16">
      <c r="A517" s="106"/>
      <c r="B517" s="106"/>
      <c r="C517" s="11" t="s">
        <v>26</v>
      </c>
      <c r="D517" s="32"/>
      <c r="E517" s="32"/>
      <c r="F517" s="32"/>
      <c r="G517" s="32"/>
      <c r="H517" s="32"/>
      <c r="I517" s="32"/>
      <c r="J517" s="32"/>
      <c r="K517" s="32"/>
      <c r="L517" s="32"/>
      <c r="M517" s="32"/>
      <c r="N517" s="32"/>
      <c r="O517" s="32"/>
      <c r="P517" s="8"/>
    </row>
    <row r="518" spans="1:16">
      <c r="A518" s="106"/>
      <c r="B518" s="106"/>
      <c r="C518" s="11" t="s">
        <v>19</v>
      </c>
      <c r="D518" s="32">
        <f>'приложение 9'!H402</f>
        <v>0</v>
      </c>
      <c r="E518" s="32">
        <f>'приложение 9'!I402</f>
        <v>0</v>
      </c>
      <c r="F518" s="32">
        <f>'приложение 9'!J402</f>
        <v>0</v>
      </c>
      <c r="G518" s="32">
        <f>'приложение 9'!K402</f>
        <v>0</v>
      </c>
      <c r="H518" s="32">
        <f>'приложение 9'!L402</f>
        <v>0</v>
      </c>
      <c r="I518" s="32">
        <f>'приложение 9'!M402</f>
        <v>0</v>
      </c>
      <c r="J518" s="32">
        <f>'приложение 9'!N402</f>
        <v>3858.5819999999999</v>
      </c>
      <c r="K518" s="32">
        <f>'приложение 9'!O402</f>
        <v>0</v>
      </c>
      <c r="L518" s="32">
        <f>'приложение 9'!P402</f>
        <v>6200.3</v>
      </c>
      <c r="M518" s="32">
        <f>'приложение 9'!Q402</f>
        <v>3858.5819999999999</v>
      </c>
      <c r="N518" s="32">
        <f>'приложение 9'!R402</f>
        <v>0</v>
      </c>
      <c r="O518" s="32">
        <f>'приложение 9'!S402</f>
        <v>0</v>
      </c>
      <c r="P518" s="8"/>
    </row>
    <row r="519" spans="1:16" ht="26.4">
      <c r="A519" s="106"/>
      <c r="B519" s="106"/>
      <c r="C519" s="35" t="s">
        <v>553</v>
      </c>
      <c r="D519" s="32">
        <f>'приложение 9'!H401</f>
        <v>1169.8</v>
      </c>
      <c r="E519" s="32">
        <f>'приложение 9'!I401</f>
        <v>1169.8</v>
      </c>
      <c r="F519" s="32">
        <f>'приложение 9'!J401</f>
        <v>0</v>
      </c>
      <c r="G519" s="32">
        <f>'приложение 9'!K401</f>
        <v>0</v>
      </c>
      <c r="H519" s="32">
        <f>'приложение 9'!L401</f>
        <v>1834.6959999999999</v>
      </c>
      <c r="I519" s="32">
        <f>'приложение 9'!M401</f>
        <v>1834.6959999999999</v>
      </c>
      <c r="J519" s="32">
        <f>'приложение 9'!N401</f>
        <v>1834.6959999999999</v>
      </c>
      <c r="K519" s="32">
        <f>'приложение 9'!O401</f>
        <v>1834.6959999999999</v>
      </c>
      <c r="L519" s="32">
        <f>'приложение 9'!P401</f>
        <v>2417.1999999999998</v>
      </c>
      <c r="M519" s="32">
        <f>'приложение 9'!Q401</f>
        <v>2417.1999999999998</v>
      </c>
      <c r="N519" s="32">
        <f>'приложение 9'!R401</f>
        <v>0</v>
      </c>
      <c r="O519" s="32">
        <f>'приложение 9'!S401</f>
        <v>0</v>
      </c>
      <c r="P519" s="8"/>
    </row>
    <row r="520" spans="1:16" ht="26.4">
      <c r="A520" s="106"/>
      <c r="B520" s="106"/>
      <c r="C520" s="35" t="s">
        <v>554</v>
      </c>
      <c r="D520" s="32">
        <f>'приложение 9'!H403</f>
        <v>31.4</v>
      </c>
      <c r="E520" s="32">
        <f>'приложение 9'!I403</f>
        <v>9.42</v>
      </c>
      <c r="F520" s="32">
        <f>'приложение 9'!J403</f>
        <v>5.1521299999999997</v>
      </c>
      <c r="G520" s="32">
        <f>'приложение 9'!K403</f>
        <v>5.1521299999999997</v>
      </c>
      <c r="H520" s="32">
        <f>'приложение 9'!L403</f>
        <v>11.09318</v>
      </c>
      <c r="I520" s="32">
        <f>'приложение 9'!M403</f>
        <v>11.09318</v>
      </c>
      <c r="J520" s="32">
        <f>'приложение 9'!N403</f>
        <v>17.346060000000001</v>
      </c>
      <c r="K520" s="32">
        <f>'приложение 9'!O403</f>
        <v>17.346060000000001</v>
      </c>
      <c r="L520" s="32">
        <f>'приложение 9'!P403</f>
        <v>26.210999999999999</v>
      </c>
      <c r="M520" s="32">
        <f>'приложение 9'!Q403</f>
        <v>21.98</v>
      </c>
      <c r="N520" s="32">
        <f>'приложение 9'!R403</f>
        <v>31.151</v>
      </c>
      <c r="O520" s="32">
        <f>'приложение 9'!S403</f>
        <v>24.904</v>
      </c>
      <c r="P520" s="8"/>
    </row>
    <row r="521" spans="1:16">
      <c r="A521" s="106"/>
      <c r="B521" s="106"/>
      <c r="C521" s="11" t="s">
        <v>20</v>
      </c>
      <c r="D521" s="7"/>
      <c r="E521" s="7"/>
      <c r="F521" s="7"/>
      <c r="G521" s="7"/>
      <c r="H521" s="7"/>
      <c r="I521" s="7"/>
      <c r="J521" s="7"/>
      <c r="K521" s="7"/>
      <c r="L521" s="32"/>
      <c r="M521" s="32"/>
      <c r="N521" s="8"/>
      <c r="O521" s="8"/>
      <c r="P521" s="8"/>
    </row>
    <row r="522" spans="1:16">
      <c r="A522" s="106"/>
      <c r="B522" s="106"/>
      <c r="C522" s="11" t="s">
        <v>21</v>
      </c>
      <c r="D522" s="7"/>
      <c r="E522" s="7"/>
      <c r="F522" s="7"/>
      <c r="G522" s="7"/>
      <c r="H522" s="7"/>
      <c r="I522" s="7"/>
      <c r="J522" s="7"/>
      <c r="K522" s="7"/>
      <c r="L522" s="32"/>
      <c r="M522" s="32"/>
      <c r="N522" s="8"/>
      <c r="O522" s="8"/>
      <c r="P522" s="8"/>
    </row>
    <row r="523" spans="1:16">
      <c r="A523" s="106"/>
      <c r="B523" s="106"/>
      <c r="C523" s="11" t="s">
        <v>22</v>
      </c>
      <c r="D523" s="7"/>
      <c r="E523" s="7"/>
      <c r="F523" s="7"/>
      <c r="G523" s="7"/>
      <c r="H523" s="7"/>
      <c r="I523" s="7"/>
      <c r="J523" s="7"/>
      <c r="K523" s="7"/>
      <c r="L523" s="32"/>
      <c r="M523" s="32"/>
      <c r="N523" s="8"/>
      <c r="O523" s="8"/>
      <c r="P523" s="8"/>
    </row>
    <row r="524" spans="1:16">
      <c r="A524" s="106"/>
      <c r="B524" s="106"/>
      <c r="C524" s="11" t="s">
        <v>23</v>
      </c>
      <c r="D524" s="7"/>
      <c r="E524" s="7"/>
      <c r="F524" s="7"/>
      <c r="G524" s="7"/>
      <c r="H524" s="7"/>
      <c r="I524" s="7"/>
      <c r="J524" s="7"/>
      <c r="K524" s="7"/>
      <c r="L524" s="32"/>
      <c r="M524" s="32"/>
      <c r="N524" s="8"/>
      <c r="O524" s="8"/>
      <c r="P524" s="8"/>
    </row>
    <row r="525" spans="1:16" ht="13.5" customHeight="1">
      <c r="A525" s="106" t="s">
        <v>530</v>
      </c>
      <c r="B525" s="106" t="s">
        <v>551</v>
      </c>
      <c r="C525" s="11" t="s">
        <v>16</v>
      </c>
      <c r="D525" s="32">
        <f t="shared" ref="D525:E525" si="187">SUM(D527:D532)</f>
        <v>11312.2</v>
      </c>
      <c r="E525" s="32">
        <f t="shared" si="187"/>
        <v>10324.758159999999</v>
      </c>
      <c r="F525" s="32">
        <f t="shared" ref="F525:K525" si="188">SUM(F527:F532)</f>
        <v>2612.0785799999999</v>
      </c>
      <c r="G525" s="32">
        <f t="shared" si="188"/>
        <v>2610.6174599999999</v>
      </c>
      <c r="H525" s="32">
        <f t="shared" si="188"/>
        <v>5944.11942</v>
      </c>
      <c r="I525" s="32">
        <f t="shared" si="188"/>
        <v>5944.11942</v>
      </c>
      <c r="J525" s="32">
        <f t="shared" si="188"/>
        <v>9010.8381399999998</v>
      </c>
      <c r="K525" s="32">
        <f t="shared" si="188"/>
        <v>9010.8381399999998</v>
      </c>
      <c r="L525" s="32">
        <f>SUM(L527:L532)</f>
        <v>13068.54</v>
      </c>
      <c r="M525" s="32">
        <f>SUM(M527:M532)</f>
        <v>12031.205819999999</v>
      </c>
      <c r="N525" s="32">
        <f t="shared" ref="N525:O525" si="189">SUM(N527:N532)</f>
        <v>12097.458000000001</v>
      </c>
      <c r="O525" s="32">
        <f t="shared" si="189"/>
        <v>12097.458000000001</v>
      </c>
      <c r="P525" s="8"/>
    </row>
    <row r="526" spans="1:16">
      <c r="A526" s="106"/>
      <c r="B526" s="106"/>
      <c r="C526" s="11" t="s">
        <v>17</v>
      </c>
      <c r="D526" s="32"/>
      <c r="E526" s="32"/>
      <c r="F526" s="32"/>
      <c r="G526" s="32"/>
      <c r="H526" s="32"/>
      <c r="I526" s="32"/>
      <c r="J526" s="32"/>
      <c r="K526" s="32"/>
      <c r="L526" s="32"/>
      <c r="M526" s="32"/>
      <c r="N526" s="32"/>
      <c r="O526" s="32"/>
      <c r="P526" s="8"/>
    </row>
    <row r="527" spans="1:16">
      <c r="A527" s="106"/>
      <c r="B527" s="106"/>
      <c r="C527" s="11" t="s">
        <v>27</v>
      </c>
      <c r="D527" s="32"/>
      <c r="E527" s="32"/>
      <c r="F527" s="32"/>
      <c r="G527" s="32"/>
      <c r="H527" s="32"/>
      <c r="I527" s="32"/>
      <c r="J527" s="32"/>
      <c r="K527" s="32"/>
      <c r="L527" s="32"/>
      <c r="M527" s="32"/>
      <c r="N527" s="32"/>
      <c r="O527" s="32"/>
      <c r="P527" s="8"/>
    </row>
    <row r="528" spans="1:16">
      <c r="A528" s="106"/>
      <c r="B528" s="106"/>
      <c r="C528" s="11" t="s">
        <v>19</v>
      </c>
      <c r="D528" s="32"/>
      <c r="E528" s="32"/>
      <c r="F528" s="32"/>
      <c r="G528" s="32"/>
      <c r="H528" s="32"/>
      <c r="I528" s="32"/>
      <c r="J528" s="32"/>
      <c r="K528" s="32"/>
      <c r="L528" s="32"/>
      <c r="M528" s="32"/>
      <c r="N528" s="32"/>
      <c r="O528" s="32"/>
      <c r="P528" s="8"/>
    </row>
    <row r="529" spans="1:16">
      <c r="A529" s="106"/>
      <c r="B529" s="106"/>
      <c r="C529" s="11" t="s">
        <v>20</v>
      </c>
      <c r="D529" s="32">
        <f>'приложение 9'!H405</f>
        <v>11312.2</v>
      </c>
      <c r="E529" s="32">
        <f>'приложение 9'!I405</f>
        <v>10324.758159999999</v>
      </c>
      <c r="F529" s="32">
        <f>'приложение 9'!J405</f>
        <v>2612.0785799999999</v>
      </c>
      <c r="G529" s="32">
        <f>'приложение 9'!K405</f>
        <v>2610.6174599999999</v>
      </c>
      <c r="H529" s="32">
        <f>'приложение 9'!L405</f>
        <v>5944.11942</v>
      </c>
      <c r="I529" s="32">
        <f>'приложение 9'!M405</f>
        <v>5944.11942</v>
      </c>
      <c r="J529" s="32">
        <f>'приложение 9'!N405</f>
        <v>9010.8381399999998</v>
      </c>
      <c r="K529" s="32">
        <f>'приложение 9'!O405</f>
        <v>9010.8381399999998</v>
      </c>
      <c r="L529" s="32">
        <f>'приложение 9'!P405</f>
        <v>13068.54</v>
      </c>
      <c r="M529" s="32">
        <f>'приложение 9'!Q405</f>
        <v>12031.205819999999</v>
      </c>
      <c r="N529" s="32">
        <f>'приложение 9'!R405</f>
        <v>12097.458000000001</v>
      </c>
      <c r="O529" s="32">
        <f>'приложение 9'!S405</f>
        <v>12097.458000000001</v>
      </c>
      <c r="P529" s="8"/>
    </row>
    <row r="530" spans="1:16">
      <c r="A530" s="106"/>
      <c r="B530" s="106"/>
      <c r="C530" s="11" t="s">
        <v>21</v>
      </c>
      <c r="D530" s="32"/>
      <c r="E530" s="32"/>
      <c r="F530" s="32"/>
      <c r="G530" s="32"/>
      <c r="H530" s="32"/>
      <c r="I530" s="32"/>
      <c r="J530" s="32"/>
      <c r="K530" s="32"/>
      <c r="L530" s="32"/>
      <c r="M530" s="32"/>
      <c r="N530" s="32"/>
      <c r="O530" s="32"/>
      <c r="P530" s="8"/>
    </row>
    <row r="531" spans="1:16">
      <c r="A531" s="106"/>
      <c r="B531" s="106"/>
      <c r="C531" s="11" t="s">
        <v>22</v>
      </c>
      <c r="D531" s="32"/>
      <c r="E531" s="32"/>
      <c r="F531" s="32"/>
      <c r="G531" s="32"/>
      <c r="H531" s="32"/>
      <c r="I531" s="32"/>
      <c r="J531" s="32"/>
      <c r="K531" s="32"/>
      <c r="L531" s="32"/>
      <c r="M531" s="32"/>
      <c r="N531" s="32"/>
      <c r="O531" s="32"/>
      <c r="P531" s="8"/>
    </row>
    <row r="532" spans="1:16">
      <c r="A532" s="106"/>
      <c r="B532" s="106"/>
      <c r="C532" s="11" t="s">
        <v>23</v>
      </c>
      <c r="D532" s="32"/>
      <c r="E532" s="32"/>
      <c r="F532" s="32"/>
      <c r="G532" s="32"/>
      <c r="H532" s="32"/>
      <c r="I532" s="32"/>
      <c r="J532" s="32"/>
      <c r="K532" s="32"/>
      <c r="L532" s="32"/>
      <c r="M532" s="32"/>
      <c r="N532" s="32"/>
      <c r="O532" s="32"/>
      <c r="P532" s="8"/>
    </row>
    <row r="533" spans="1:16" ht="13.5" customHeight="1">
      <c r="A533" s="106" t="s">
        <v>531</v>
      </c>
      <c r="B533" s="106" t="s">
        <v>552</v>
      </c>
      <c r="C533" s="35" t="s">
        <v>16</v>
      </c>
      <c r="D533" s="32">
        <f t="shared" ref="D533:E533" si="190">SUM(D535:D540)</f>
        <v>102.4</v>
      </c>
      <c r="E533" s="32">
        <f t="shared" si="190"/>
        <v>92.4</v>
      </c>
      <c r="F533" s="32">
        <f t="shared" ref="F533:K533" si="191">SUM(F535:F540)</f>
        <v>0</v>
      </c>
      <c r="G533" s="32">
        <f t="shared" si="191"/>
        <v>0</v>
      </c>
      <c r="H533" s="32">
        <f t="shared" si="191"/>
        <v>56</v>
      </c>
      <c r="I533" s="32">
        <f t="shared" si="191"/>
        <v>56</v>
      </c>
      <c r="J533" s="32">
        <f t="shared" si="191"/>
        <v>159</v>
      </c>
      <c r="K533" s="32">
        <f t="shared" si="191"/>
        <v>66</v>
      </c>
      <c r="L533" s="32">
        <f>SUM(L535:L540)</f>
        <v>172</v>
      </c>
      <c r="M533" s="32">
        <f>SUM(M535:M540)</f>
        <v>172</v>
      </c>
      <c r="N533" s="32">
        <f t="shared" ref="N533:O533" si="192">SUM(N535:N540)</f>
        <v>94</v>
      </c>
      <c r="O533" s="32">
        <f t="shared" si="192"/>
        <v>94</v>
      </c>
      <c r="P533" s="8"/>
    </row>
    <row r="534" spans="1:16">
      <c r="A534" s="106"/>
      <c r="B534" s="106"/>
      <c r="C534" s="35" t="s">
        <v>17</v>
      </c>
      <c r="D534" s="32"/>
      <c r="E534" s="32"/>
      <c r="F534" s="32"/>
      <c r="G534" s="32"/>
      <c r="H534" s="32"/>
      <c r="I534" s="32"/>
      <c r="J534" s="32"/>
      <c r="K534" s="32"/>
      <c r="L534" s="32"/>
      <c r="M534" s="32"/>
      <c r="N534" s="32"/>
      <c r="O534" s="32"/>
      <c r="P534" s="8"/>
    </row>
    <row r="535" spans="1:16">
      <c r="A535" s="106"/>
      <c r="B535" s="106"/>
      <c r="C535" s="35" t="s">
        <v>27</v>
      </c>
      <c r="D535" s="32"/>
      <c r="E535" s="32"/>
      <c r="F535" s="32"/>
      <c r="G535" s="32"/>
      <c r="H535" s="32"/>
      <c r="I535" s="32"/>
      <c r="J535" s="32"/>
      <c r="K535" s="32"/>
      <c r="L535" s="32"/>
      <c r="M535" s="32"/>
      <c r="N535" s="32"/>
      <c r="O535" s="32"/>
      <c r="P535" s="8"/>
    </row>
    <row r="536" spans="1:16">
      <c r="A536" s="106"/>
      <c r="B536" s="106"/>
      <c r="C536" s="35" t="s">
        <v>19</v>
      </c>
      <c r="D536" s="32">
        <f>'приложение 9'!H408+'приложение 9'!H409</f>
        <v>23.4</v>
      </c>
      <c r="E536" s="32">
        <f>'приложение 9'!I408+'приложение 9'!I409</f>
        <v>23.4</v>
      </c>
      <c r="F536" s="32">
        <f>'приложение 9'!J408+'приложение 9'!J409</f>
        <v>0</v>
      </c>
      <c r="G536" s="32">
        <f>'приложение 9'!K408+'приложение 9'!K409</f>
        <v>0</v>
      </c>
      <c r="H536" s="32">
        <f>'приложение 9'!L408+'приложение 9'!L409</f>
        <v>0</v>
      </c>
      <c r="I536" s="32">
        <f>'приложение 9'!M408+'приложение 9'!M409</f>
        <v>0</v>
      </c>
      <c r="J536" s="32">
        <f>'приложение 9'!N408+'приложение 9'!N409</f>
        <v>93</v>
      </c>
      <c r="K536" s="32">
        <f>'приложение 9'!O408+'приложение 9'!O409</f>
        <v>0</v>
      </c>
      <c r="L536" s="32">
        <f>'приложение 9'!P408+'приложение 9'!P409</f>
        <v>93</v>
      </c>
      <c r="M536" s="32">
        <f>'приложение 9'!Q408+'приложение 9'!Q409</f>
        <v>93</v>
      </c>
      <c r="N536" s="32"/>
      <c r="O536" s="32"/>
      <c r="P536" s="8"/>
    </row>
    <row r="537" spans="1:16">
      <c r="A537" s="106"/>
      <c r="B537" s="106"/>
      <c r="C537" s="35" t="s">
        <v>20</v>
      </c>
      <c r="D537" s="32">
        <f>'приложение 9'!H410</f>
        <v>79</v>
      </c>
      <c r="E537" s="32">
        <f>'приложение 9'!I410</f>
        <v>69</v>
      </c>
      <c r="F537" s="32">
        <f>'приложение 9'!J410</f>
        <v>0</v>
      </c>
      <c r="G537" s="32">
        <f>'приложение 9'!K410</f>
        <v>0</v>
      </c>
      <c r="H537" s="32">
        <f>'приложение 9'!L410</f>
        <v>56</v>
      </c>
      <c r="I537" s="32">
        <f>'приложение 9'!M410</f>
        <v>56</v>
      </c>
      <c r="J537" s="32">
        <f>'приложение 9'!N410</f>
        <v>66</v>
      </c>
      <c r="K537" s="32">
        <f>'приложение 9'!O410</f>
        <v>66</v>
      </c>
      <c r="L537" s="32">
        <f>'приложение 9'!P410</f>
        <v>79</v>
      </c>
      <c r="M537" s="32">
        <f>'приложение 9'!Q410</f>
        <v>79</v>
      </c>
      <c r="N537" s="32">
        <f>'приложение 9'!R410</f>
        <v>94</v>
      </c>
      <c r="O537" s="32">
        <f>'приложение 9'!S410</f>
        <v>94</v>
      </c>
      <c r="P537" s="8"/>
    </row>
    <row r="538" spans="1:16">
      <c r="A538" s="106"/>
      <c r="B538" s="106"/>
      <c r="C538" s="35" t="s">
        <v>21</v>
      </c>
      <c r="D538" s="32"/>
      <c r="E538" s="32"/>
      <c r="F538" s="32"/>
      <c r="G538" s="32"/>
      <c r="H538" s="32"/>
      <c r="I538" s="32"/>
      <c r="J538" s="32"/>
      <c r="K538" s="32"/>
      <c r="L538" s="32"/>
      <c r="M538" s="32"/>
      <c r="N538" s="8"/>
      <c r="O538" s="8"/>
      <c r="P538" s="8"/>
    </row>
    <row r="539" spans="1:16">
      <c r="A539" s="106"/>
      <c r="B539" s="106"/>
      <c r="C539" s="35" t="s">
        <v>22</v>
      </c>
      <c r="D539" s="7"/>
      <c r="E539" s="7"/>
      <c r="F539" s="7"/>
      <c r="G539" s="7"/>
      <c r="H539" s="7"/>
      <c r="I539" s="7"/>
      <c r="J539" s="7"/>
      <c r="K539" s="7"/>
      <c r="L539" s="32"/>
      <c r="M539" s="32"/>
      <c r="N539" s="8"/>
      <c r="O539" s="8"/>
      <c r="P539" s="8"/>
    </row>
    <row r="540" spans="1:16">
      <c r="A540" s="106"/>
      <c r="B540" s="106"/>
      <c r="C540" s="35" t="s">
        <v>23</v>
      </c>
      <c r="D540" s="7"/>
      <c r="E540" s="7"/>
      <c r="F540" s="7"/>
      <c r="G540" s="7"/>
      <c r="H540" s="7"/>
      <c r="I540" s="7"/>
      <c r="J540" s="7"/>
      <c r="K540" s="7"/>
      <c r="L540" s="32"/>
      <c r="M540" s="32"/>
      <c r="N540" s="8"/>
      <c r="O540" s="8"/>
      <c r="P540" s="8"/>
    </row>
    <row r="541" spans="1:16" ht="13.5" customHeight="1">
      <c r="A541" s="107" t="s">
        <v>15</v>
      </c>
      <c r="B541" s="108" t="s">
        <v>555</v>
      </c>
      <c r="C541" s="11" t="s">
        <v>16</v>
      </c>
      <c r="D541" s="39">
        <f t="shared" ref="D541:E541" si="193">SUM(D543:D548)</f>
        <v>8683.5936000000002</v>
      </c>
      <c r="E541" s="39">
        <f t="shared" si="193"/>
        <v>7231.9248100000004</v>
      </c>
      <c r="F541" s="36">
        <f t="shared" ref="F541:K541" si="194">SUM(F543:F548)</f>
        <v>0</v>
      </c>
      <c r="G541" s="36">
        <f t="shared" si="194"/>
        <v>0</v>
      </c>
      <c r="H541" s="36">
        <f t="shared" si="194"/>
        <v>4113.875</v>
      </c>
      <c r="I541" s="36">
        <f t="shared" si="194"/>
        <v>4061.4349999999999</v>
      </c>
      <c r="J541" s="36">
        <f t="shared" si="194"/>
        <v>6171.4250000000002</v>
      </c>
      <c r="K541" s="36">
        <f t="shared" si="194"/>
        <v>6171.4250000000002</v>
      </c>
      <c r="L541" s="36">
        <f>SUM(L543:L548)</f>
        <v>22107.868999999999</v>
      </c>
      <c r="M541" s="36">
        <f>SUM(M543:M548)</f>
        <v>22107.868999999999</v>
      </c>
      <c r="N541" s="36">
        <f t="shared" ref="N541:O541" si="195">SUM(N543:N548)</f>
        <v>8306.1</v>
      </c>
      <c r="O541" s="36">
        <f t="shared" si="195"/>
        <v>8327.34</v>
      </c>
      <c r="P541" s="5"/>
    </row>
    <row r="542" spans="1:16">
      <c r="A542" s="107"/>
      <c r="B542" s="108"/>
      <c r="C542" s="11" t="s">
        <v>17</v>
      </c>
      <c r="D542" s="41"/>
      <c r="E542" s="41"/>
      <c r="F542" s="37"/>
      <c r="G542" s="37"/>
      <c r="H542" s="37"/>
      <c r="I542" s="37"/>
      <c r="J542" s="37"/>
      <c r="K542" s="37"/>
      <c r="L542" s="30"/>
      <c r="M542" s="30"/>
      <c r="N542" s="3"/>
      <c r="O542" s="3"/>
      <c r="P542" s="5"/>
    </row>
    <row r="543" spans="1:16">
      <c r="A543" s="107"/>
      <c r="B543" s="108"/>
      <c r="C543" s="11" t="s">
        <v>18</v>
      </c>
      <c r="D543" s="31"/>
      <c r="E543" s="31"/>
      <c r="F543" s="31"/>
      <c r="G543" s="31"/>
      <c r="H543" s="31"/>
      <c r="I543" s="31"/>
      <c r="J543" s="31"/>
      <c r="K543" s="31"/>
      <c r="L543" s="31"/>
      <c r="M543" s="31"/>
      <c r="N543" s="6"/>
      <c r="O543" s="6"/>
      <c r="P543" s="6"/>
    </row>
    <row r="544" spans="1:16">
      <c r="A544" s="107"/>
      <c r="B544" s="108"/>
      <c r="C544" s="11" t="s">
        <v>19</v>
      </c>
      <c r="D544" s="32">
        <f>D552+D560+D568</f>
        <v>7923.5945999999994</v>
      </c>
      <c r="E544" s="32">
        <f t="shared" ref="E544:O544" si="196">E552+E560+E568</f>
        <v>7215.5256200000003</v>
      </c>
      <c r="F544" s="32">
        <f t="shared" si="196"/>
        <v>0</v>
      </c>
      <c r="G544" s="32">
        <f t="shared" si="196"/>
        <v>0</v>
      </c>
      <c r="H544" s="32">
        <f t="shared" si="196"/>
        <v>3429.25</v>
      </c>
      <c r="I544" s="32">
        <f t="shared" si="196"/>
        <v>3376.81</v>
      </c>
      <c r="J544" s="32">
        <f t="shared" si="196"/>
        <v>5486.8</v>
      </c>
      <c r="K544" s="32">
        <f t="shared" si="196"/>
        <v>5486.8</v>
      </c>
      <c r="L544" s="32">
        <f t="shared" si="196"/>
        <v>21375.243999999999</v>
      </c>
      <c r="M544" s="32">
        <f t="shared" si="196"/>
        <v>21375.243999999999</v>
      </c>
      <c r="N544" s="32">
        <f t="shared" si="196"/>
        <v>8230.2000000000007</v>
      </c>
      <c r="O544" s="32">
        <f t="shared" si="196"/>
        <v>8230.2000000000007</v>
      </c>
      <c r="P544" s="8"/>
    </row>
    <row r="545" spans="1:16">
      <c r="A545" s="107"/>
      <c r="B545" s="108"/>
      <c r="C545" s="11" t="s">
        <v>20</v>
      </c>
      <c r="D545" s="32">
        <f>D553+D561+D569</f>
        <v>759.99899999999991</v>
      </c>
      <c r="E545" s="32">
        <f t="shared" ref="E545:O545" si="197">E553+E561+E569</f>
        <v>16.399190000000001</v>
      </c>
      <c r="F545" s="32">
        <f t="shared" si="197"/>
        <v>0</v>
      </c>
      <c r="G545" s="32">
        <f t="shared" si="197"/>
        <v>0</v>
      </c>
      <c r="H545" s="32">
        <f t="shared" si="197"/>
        <v>684.625</v>
      </c>
      <c r="I545" s="32">
        <f t="shared" si="197"/>
        <v>684.625</v>
      </c>
      <c r="J545" s="32">
        <f t="shared" si="197"/>
        <v>684.625</v>
      </c>
      <c r="K545" s="32">
        <f t="shared" si="197"/>
        <v>684.625</v>
      </c>
      <c r="L545" s="32">
        <f t="shared" si="197"/>
        <v>732.625</v>
      </c>
      <c r="M545" s="32">
        <f t="shared" si="197"/>
        <v>732.625</v>
      </c>
      <c r="N545" s="32">
        <f t="shared" si="197"/>
        <v>75.900000000000006</v>
      </c>
      <c r="O545" s="32">
        <f t="shared" si="197"/>
        <v>97.14</v>
      </c>
      <c r="P545" s="8"/>
    </row>
    <row r="546" spans="1:16">
      <c r="A546" s="107"/>
      <c r="B546" s="108"/>
      <c r="C546" s="11" t="s">
        <v>21</v>
      </c>
      <c r="D546" s="32"/>
      <c r="E546" s="32"/>
      <c r="F546" s="32"/>
      <c r="G546" s="32"/>
      <c r="H546" s="32"/>
      <c r="I546" s="32"/>
      <c r="J546" s="32"/>
      <c r="K546" s="32"/>
      <c r="L546" s="32"/>
      <c r="M546" s="32"/>
      <c r="N546" s="8"/>
      <c r="O546" s="8"/>
      <c r="P546" s="8"/>
    </row>
    <row r="547" spans="1:16">
      <c r="A547" s="107"/>
      <c r="B547" s="108"/>
      <c r="C547" s="11" t="s">
        <v>22</v>
      </c>
      <c r="D547" s="32"/>
      <c r="E547" s="32"/>
      <c r="F547" s="32"/>
      <c r="G547" s="32"/>
      <c r="H547" s="32"/>
      <c r="I547" s="32"/>
      <c r="J547" s="32"/>
      <c r="K547" s="32"/>
      <c r="L547" s="32"/>
      <c r="M547" s="32"/>
      <c r="N547" s="8"/>
      <c r="O547" s="8"/>
      <c r="P547" s="8"/>
    </row>
    <row r="548" spans="1:16">
      <c r="A548" s="107"/>
      <c r="B548" s="108"/>
      <c r="C548" s="11" t="s">
        <v>23</v>
      </c>
      <c r="D548" s="32"/>
      <c r="E548" s="32"/>
      <c r="F548" s="32"/>
      <c r="G548" s="32"/>
      <c r="H548" s="32"/>
      <c r="I548" s="32"/>
      <c r="J548" s="32"/>
      <c r="K548" s="32"/>
      <c r="L548" s="32"/>
      <c r="M548" s="32"/>
      <c r="N548" s="8"/>
      <c r="O548" s="8"/>
      <c r="P548" s="8"/>
    </row>
    <row r="549" spans="1:16" ht="12" customHeight="1">
      <c r="A549" s="109" t="s">
        <v>24</v>
      </c>
      <c r="B549" s="112" t="s">
        <v>479</v>
      </c>
      <c r="C549" s="11" t="s">
        <v>16</v>
      </c>
      <c r="D549" s="32">
        <f t="shared" ref="D549:E549" si="198">SUM(D551:D556)</f>
        <v>7634.2</v>
      </c>
      <c r="E549" s="32">
        <f t="shared" si="198"/>
        <v>6926.1310200000007</v>
      </c>
      <c r="F549" s="32">
        <f t="shared" ref="F549:K549" si="199">SUM(F551:F556)</f>
        <v>0</v>
      </c>
      <c r="G549" s="32">
        <f t="shared" si="199"/>
        <v>0</v>
      </c>
      <c r="H549" s="32">
        <f t="shared" si="199"/>
        <v>3429.25</v>
      </c>
      <c r="I549" s="32">
        <f t="shared" si="199"/>
        <v>3376.81</v>
      </c>
      <c r="J549" s="32">
        <f t="shared" si="199"/>
        <v>5486.8</v>
      </c>
      <c r="K549" s="32">
        <f t="shared" si="199"/>
        <v>5486.8</v>
      </c>
      <c r="L549" s="32">
        <f>SUM(L551:L556)</f>
        <v>15575.244000000001</v>
      </c>
      <c r="M549" s="32">
        <f>SUM(M551:M556)</f>
        <v>15575.244000000001</v>
      </c>
      <c r="N549" s="32">
        <f t="shared" ref="N549:O549" si="200">SUM(N551:N556)</f>
        <v>8230.2000000000007</v>
      </c>
      <c r="O549" s="32">
        <f t="shared" si="200"/>
        <v>8230.2000000000007</v>
      </c>
      <c r="P549" s="8"/>
    </row>
    <row r="550" spans="1:16">
      <c r="A550" s="110"/>
      <c r="B550" s="113"/>
      <c r="C550" s="11" t="s">
        <v>17</v>
      </c>
      <c r="D550" s="32"/>
      <c r="E550" s="32"/>
      <c r="F550" s="32"/>
      <c r="G550" s="32"/>
      <c r="H550" s="32"/>
      <c r="I550" s="32"/>
      <c r="J550" s="32"/>
      <c r="K550" s="32"/>
      <c r="L550" s="32"/>
      <c r="M550" s="32"/>
      <c r="N550" s="8"/>
      <c r="O550" s="8"/>
      <c r="P550" s="8"/>
    </row>
    <row r="551" spans="1:16">
      <c r="A551" s="110"/>
      <c r="B551" s="113"/>
      <c r="C551" s="11" t="s">
        <v>18</v>
      </c>
      <c r="D551" s="32"/>
      <c r="E551" s="32"/>
      <c r="F551" s="32"/>
      <c r="G551" s="32"/>
      <c r="H551" s="32"/>
      <c r="I551" s="32"/>
      <c r="J551" s="32"/>
      <c r="K551" s="32"/>
      <c r="L551" s="32"/>
      <c r="M551" s="32"/>
      <c r="N551" s="8"/>
      <c r="O551" s="8"/>
      <c r="P551" s="8"/>
    </row>
    <row r="552" spans="1:16">
      <c r="A552" s="110"/>
      <c r="B552" s="113"/>
      <c r="C552" s="11" t="s">
        <v>19</v>
      </c>
      <c r="D552" s="32">
        <f>'приложение 9'!H437+'приложение 9'!H438+'приложение 9'!H439</f>
        <v>7634.2</v>
      </c>
      <c r="E552" s="32">
        <f>'приложение 9'!I437+'приложение 9'!I438+'приложение 9'!I439</f>
        <v>6926.1310200000007</v>
      </c>
      <c r="F552" s="32">
        <f>'приложение 9'!J437+'приложение 9'!J438+'приложение 9'!J439</f>
        <v>0</v>
      </c>
      <c r="G552" s="32">
        <f>'приложение 9'!K437+'приложение 9'!K438+'приложение 9'!K439</f>
        <v>0</v>
      </c>
      <c r="H552" s="32">
        <f>'приложение 9'!L437+'приложение 9'!L438+'приложение 9'!L439</f>
        <v>3429.25</v>
      </c>
      <c r="I552" s="32">
        <f>'приложение 9'!M437+'приложение 9'!M438+'приложение 9'!M439</f>
        <v>3376.81</v>
      </c>
      <c r="J552" s="32">
        <f>'приложение 9'!N437+'приложение 9'!N438+'приложение 9'!N439</f>
        <v>5486.8</v>
      </c>
      <c r="K552" s="32">
        <f>'приложение 9'!O437+'приложение 9'!O438+'приложение 9'!O439</f>
        <v>5486.8</v>
      </c>
      <c r="L552" s="32">
        <f>'приложение 9'!P437+'приложение 9'!P438+'приложение 9'!P439</f>
        <v>15575.244000000001</v>
      </c>
      <c r="M552" s="32">
        <f>'приложение 9'!Q437+'приложение 9'!Q438+'приложение 9'!Q439</f>
        <v>15575.244000000001</v>
      </c>
      <c r="N552" s="32">
        <f>'приложение 9'!R437+'приложение 9'!R438+'приложение 9'!R439</f>
        <v>8230.2000000000007</v>
      </c>
      <c r="O552" s="32">
        <f>'приложение 9'!S437+'приложение 9'!S438+'приложение 9'!S439</f>
        <v>8230.2000000000007</v>
      </c>
      <c r="P552" s="8"/>
    </row>
    <row r="553" spans="1:16">
      <c r="A553" s="110"/>
      <c r="B553" s="113"/>
      <c r="C553" s="11" t="s">
        <v>20</v>
      </c>
      <c r="D553" s="32"/>
      <c r="E553" s="32"/>
      <c r="F553" s="32"/>
      <c r="G553" s="32"/>
      <c r="H553" s="32"/>
      <c r="I553" s="32"/>
      <c r="J553" s="32"/>
      <c r="K553" s="32"/>
      <c r="L553" s="32"/>
      <c r="M553" s="32"/>
      <c r="N553" s="8"/>
      <c r="O553" s="8"/>
      <c r="P553" s="8"/>
    </row>
    <row r="554" spans="1:16">
      <c r="A554" s="110"/>
      <c r="B554" s="113"/>
      <c r="C554" s="11" t="s">
        <v>21</v>
      </c>
      <c r="D554" s="32"/>
      <c r="E554" s="32"/>
      <c r="F554" s="32"/>
      <c r="G554" s="32"/>
      <c r="H554" s="32"/>
      <c r="I554" s="32"/>
      <c r="J554" s="32"/>
      <c r="K554" s="32"/>
      <c r="L554" s="32"/>
      <c r="M554" s="32"/>
      <c r="N554" s="8"/>
      <c r="O554" s="8"/>
      <c r="P554" s="8"/>
    </row>
    <row r="555" spans="1:16">
      <c r="A555" s="110"/>
      <c r="B555" s="113"/>
      <c r="C555" s="11" t="s">
        <v>22</v>
      </c>
      <c r="D555" s="32"/>
      <c r="E555" s="32"/>
      <c r="F555" s="32"/>
      <c r="G555" s="32"/>
      <c r="H555" s="32"/>
      <c r="I555" s="32"/>
      <c r="J555" s="32"/>
      <c r="K555" s="32"/>
      <c r="L555" s="32"/>
      <c r="M555" s="32"/>
      <c r="N555" s="8"/>
      <c r="O555" s="8"/>
      <c r="P555" s="8"/>
    </row>
    <row r="556" spans="1:16">
      <c r="A556" s="111"/>
      <c r="B556" s="114"/>
      <c r="C556" s="11" t="s">
        <v>23</v>
      </c>
      <c r="D556" s="32"/>
      <c r="E556" s="32"/>
      <c r="F556" s="32"/>
      <c r="G556" s="32"/>
      <c r="H556" s="32"/>
      <c r="I556" s="32"/>
      <c r="J556" s="32"/>
      <c r="K556" s="32"/>
      <c r="L556" s="32"/>
      <c r="M556" s="32"/>
      <c r="N556" s="8"/>
      <c r="O556" s="8"/>
      <c r="P556" s="8"/>
    </row>
    <row r="557" spans="1:16" ht="13.5" customHeight="1">
      <c r="A557" s="106" t="s">
        <v>25</v>
      </c>
      <c r="B557" s="106" t="s">
        <v>557</v>
      </c>
      <c r="C557" s="11" t="s">
        <v>16</v>
      </c>
      <c r="D557" s="32">
        <f t="shared" ref="D557:E557" si="201">SUM(D559:D564)</f>
        <v>1035.3935999999999</v>
      </c>
      <c r="E557" s="32">
        <f t="shared" si="201"/>
        <v>291.79378999999994</v>
      </c>
      <c r="F557" s="32">
        <f t="shared" ref="F557:K557" si="202">SUM(F559:F564)</f>
        <v>0</v>
      </c>
      <c r="G557" s="32">
        <f t="shared" si="202"/>
        <v>0</v>
      </c>
      <c r="H557" s="32">
        <f t="shared" si="202"/>
        <v>684.625</v>
      </c>
      <c r="I557" s="32">
        <f t="shared" si="202"/>
        <v>684.625</v>
      </c>
      <c r="J557" s="32">
        <f t="shared" si="202"/>
        <v>684.625</v>
      </c>
      <c r="K557" s="32">
        <f t="shared" si="202"/>
        <v>684.625</v>
      </c>
      <c r="L557" s="32">
        <f>SUM(L559:L564)</f>
        <v>684.625</v>
      </c>
      <c r="M557" s="32">
        <f>SUM(M559:M564)</f>
        <v>684.625</v>
      </c>
      <c r="N557" s="32">
        <f t="shared" ref="N557:O557" si="203">SUM(N559:N564)</f>
        <v>0</v>
      </c>
      <c r="O557" s="32">
        <f t="shared" si="203"/>
        <v>0</v>
      </c>
      <c r="P557" s="8"/>
    </row>
    <row r="558" spans="1:16">
      <c r="A558" s="106"/>
      <c r="B558" s="106"/>
      <c r="C558" s="11" t="s">
        <v>17</v>
      </c>
      <c r="D558" s="32"/>
      <c r="E558" s="32"/>
      <c r="F558" s="32"/>
      <c r="G558" s="32"/>
      <c r="H558" s="32"/>
      <c r="I558" s="32"/>
      <c r="J558" s="32"/>
      <c r="K558" s="32"/>
      <c r="L558" s="32"/>
      <c r="M558" s="32"/>
      <c r="N558" s="32"/>
      <c r="O558" s="32"/>
      <c r="P558" s="8"/>
    </row>
    <row r="559" spans="1:16">
      <c r="A559" s="106"/>
      <c r="B559" s="106"/>
      <c r="C559" s="11" t="s">
        <v>26</v>
      </c>
      <c r="D559" s="32"/>
      <c r="E559" s="32"/>
      <c r="F559" s="32"/>
      <c r="G559" s="32"/>
      <c r="H559" s="32"/>
      <c r="I559" s="32"/>
      <c r="J559" s="32"/>
      <c r="K559" s="32"/>
      <c r="L559" s="32"/>
      <c r="M559" s="32"/>
      <c r="N559" s="32"/>
      <c r="O559" s="32"/>
      <c r="P559" s="8"/>
    </row>
    <row r="560" spans="1:16">
      <c r="A560" s="106"/>
      <c r="B560" s="106"/>
      <c r="C560" s="11" t="s">
        <v>19</v>
      </c>
      <c r="D560" s="32">
        <f>'приложение 9'!H421+'приложение 9'!H422+'приложение 9'!H423</f>
        <v>289.39459999999997</v>
      </c>
      <c r="E560" s="32">
        <f>'приложение 9'!I421+'приложение 9'!I422+'приложение 9'!I423</f>
        <v>289.39459999999997</v>
      </c>
      <c r="F560" s="32">
        <f>'приложение 9'!J421+'приложение 9'!J422+'приложение 9'!J423</f>
        <v>0</v>
      </c>
      <c r="G560" s="32">
        <f>'приложение 9'!K421+'приложение 9'!K422+'приложение 9'!K423</f>
        <v>0</v>
      </c>
      <c r="H560" s="32">
        <f>'приложение 9'!L421+'приложение 9'!L422+'приложение 9'!L423</f>
        <v>0</v>
      </c>
      <c r="I560" s="32">
        <f>'приложение 9'!M421+'приложение 9'!M422+'приложение 9'!M423</f>
        <v>0</v>
      </c>
      <c r="J560" s="32">
        <f>'приложение 9'!N421+'приложение 9'!N422+'приложение 9'!N423</f>
        <v>0</v>
      </c>
      <c r="K560" s="32">
        <f>'приложение 9'!O421+'приложение 9'!O422+'приложение 9'!O423</f>
        <v>0</v>
      </c>
      <c r="L560" s="32">
        <f>'приложение 9'!P421+'приложение 9'!P422+'приложение 9'!P423</f>
        <v>0</v>
      </c>
      <c r="M560" s="32">
        <f>'приложение 9'!Q421+'приложение 9'!Q422+'приложение 9'!Q423</f>
        <v>0</v>
      </c>
      <c r="N560" s="32">
        <f>'приложение 9'!R421+'приложение 9'!R422+'приложение 9'!R423</f>
        <v>0</v>
      </c>
      <c r="O560" s="32">
        <f>'приложение 9'!S421+'приложение 9'!S422+'приложение 9'!S423</f>
        <v>0</v>
      </c>
      <c r="P560" s="8"/>
    </row>
    <row r="561" spans="1:16">
      <c r="A561" s="106"/>
      <c r="B561" s="106"/>
      <c r="C561" s="11" t="s">
        <v>20</v>
      </c>
      <c r="D561" s="32">
        <f>'приложение 9'!H424+'приложение 9'!H425+'приложение 9'!H426+'приложение 9'!H427+'приложение 9'!H428+'приложение 9'!H429+'приложение 9'!H430</f>
        <v>745.99899999999991</v>
      </c>
      <c r="E561" s="32">
        <f>'приложение 9'!I424+'приложение 9'!I425+'приложение 9'!I426+'приложение 9'!I427+'приложение 9'!I428+'приложение 9'!I429+'приложение 9'!I430</f>
        <v>2.3991899999999999</v>
      </c>
      <c r="F561" s="32">
        <f>'приложение 9'!J424+'приложение 9'!J425+'приложение 9'!J426+'приложение 9'!J427+'приложение 9'!J428+'приложение 9'!J429+'приложение 9'!J430</f>
        <v>0</v>
      </c>
      <c r="G561" s="32">
        <f>'приложение 9'!K424+'приложение 9'!K425+'приложение 9'!K426+'приложение 9'!K427+'приложение 9'!K428+'приложение 9'!K429+'приложение 9'!K430</f>
        <v>0</v>
      </c>
      <c r="H561" s="32">
        <f>'приложение 9'!L424+'приложение 9'!L425+'приложение 9'!L426+'приложение 9'!L427+'приложение 9'!L428+'приложение 9'!L429+'приложение 9'!L430</f>
        <v>684.625</v>
      </c>
      <c r="I561" s="32">
        <f>'приложение 9'!M424+'приложение 9'!M425+'приложение 9'!M426+'приложение 9'!M427+'приложение 9'!M428+'приложение 9'!M429+'приложение 9'!M430</f>
        <v>684.625</v>
      </c>
      <c r="J561" s="32">
        <f>'приложение 9'!N424+'приложение 9'!N425+'приложение 9'!N426+'приложение 9'!N427+'приложение 9'!N428+'приложение 9'!N429+'приложение 9'!N430</f>
        <v>684.625</v>
      </c>
      <c r="K561" s="32">
        <f>'приложение 9'!O424+'приложение 9'!O425+'приложение 9'!O426+'приложение 9'!O427+'приложение 9'!O428+'приложение 9'!O429+'приложение 9'!O430</f>
        <v>684.625</v>
      </c>
      <c r="L561" s="32">
        <f>'приложение 9'!P424+'приложение 9'!P425+'приложение 9'!P426+'приложение 9'!P427+'приложение 9'!P428+'приложение 9'!P429+'приложение 9'!P430</f>
        <v>684.625</v>
      </c>
      <c r="M561" s="32">
        <f>'приложение 9'!Q424+'приложение 9'!Q425+'приложение 9'!Q426+'приложение 9'!Q427+'приложение 9'!Q428+'приложение 9'!Q429+'приложение 9'!Q430</f>
        <v>684.625</v>
      </c>
      <c r="N561" s="32">
        <f>'приложение 9'!R424+'приложение 9'!R425+'приложение 9'!R426+'приложение 9'!R427+'приложение 9'!R428+'приложение 9'!R429+'приложение 9'!R430</f>
        <v>0</v>
      </c>
      <c r="O561" s="32">
        <f>'приложение 9'!S424+'приложение 9'!S425+'приложение 9'!S426+'приложение 9'!S427+'приложение 9'!S428+'приложение 9'!S429+'приложение 9'!S430</f>
        <v>0</v>
      </c>
      <c r="P561" s="8"/>
    </row>
    <row r="562" spans="1:16">
      <c r="A562" s="106"/>
      <c r="B562" s="106"/>
      <c r="C562" s="11" t="s">
        <v>21</v>
      </c>
      <c r="D562" s="7"/>
      <c r="E562" s="7"/>
      <c r="F562" s="7"/>
      <c r="G562" s="7"/>
      <c r="H562" s="7"/>
      <c r="I562" s="7"/>
      <c r="J562" s="7"/>
      <c r="K562" s="7"/>
      <c r="L562" s="32"/>
      <c r="M562" s="32"/>
      <c r="N562" s="32"/>
      <c r="O562" s="32"/>
      <c r="P562" s="8"/>
    </row>
    <row r="563" spans="1:16">
      <c r="A563" s="106"/>
      <c r="B563" s="106"/>
      <c r="C563" s="11" t="s">
        <v>22</v>
      </c>
      <c r="D563" s="7"/>
      <c r="E563" s="7"/>
      <c r="F563" s="7"/>
      <c r="G563" s="7"/>
      <c r="H563" s="7"/>
      <c r="I563" s="7"/>
      <c r="J563" s="7"/>
      <c r="K563" s="7"/>
      <c r="L563" s="32"/>
      <c r="M563" s="32"/>
      <c r="N563" s="32"/>
      <c r="O563" s="32"/>
      <c r="P563" s="8"/>
    </row>
    <row r="564" spans="1:16">
      <c r="A564" s="106"/>
      <c r="B564" s="106"/>
      <c r="C564" s="11" t="s">
        <v>23</v>
      </c>
      <c r="D564" s="7"/>
      <c r="E564" s="7"/>
      <c r="F564" s="7"/>
      <c r="G564" s="7"/>
      <c r="H564" s="7"/>
      <c r="I564" s="7"/>
      <c r="J564" s="7"/>
      <c r="K564" s="7"/>
      <c r="L564" s="32"/>
      <c r="M564" s="32"/>
      <c r="N564" s="32"/>
      <c r="O564" s="32"/>
      <c r="P564" s="8"/>
    </row>
    <row r="565" spans="1:16" ht="13.5" customHeight="1">
      <c r="A565" s="106" t="s">
        <v>531</v>
      </c>
      <c r="B565" s="106" t="s">
        <v>556</v>
      </c>
      <c r="C565" s="11" t="s">
        <v>16</v>
      </c>
      <c r="D565" s="32">
        <f t="shared" ref="D565:E565" si="204">SUM(D567:D572)</f>
        <v>14</v>
      </c>
      <c r="E565" s="32">
        <f t="shared" si="204"/>
        <v>14</v>
      </c>
      <c r="F565" s="32">
        <f t="shared" ref="F565:K565" si="205">SUM(F567:F572)</f>
        <v>0</v>
      </c>
      <c r="G565" s="32">
        <f t="shared" si="205"/>
        <v>0</v>
      </c>
      <c r="H565" s="32">
        <f t="shared" si="205"/>
        <v>0</v>
      </c>
      <c r="I565" s="32">
        <f t="shared" si="205"/>
        <v>0</v>
      </c>
      <c r="J565" s="32">
        <f t="shared" si="205"/>
        <v>0</v>
      </c>
      <c r="K565" s="32">
        <f t="shared" si="205"/>
        <v>0</v>
      </c>
      <c r="L565" s="32">
        <f>SUM(L567:L572)</f>
        <v>5848</v>
      </c>
      <c r="M565" s="32">
        <f>SUM(M567:M572)</f>
        <v>5848</v>
      </c>
      <c r="N565" s="32">
        <f t="shared" ref="N565:O565" si="206">SUM(N567:N572)</f>
        <v>75.900000000000006</v>
      </c>
      <c r="O565" s="32">
        <f t="shared" si="206"/>
        <v>97.14</v>
      </c>
      <c r="P565" s="8"/>
    </row>
    <row r="566" spans="1:16">
      <c r="A566" s="106"/>
      <c r="B566" s="106"/>
      <c r="C566" s="11" t="s">
        <v>17</v>
      </c>
      <c r="D566" s="32"/>
      <c r="E566" s="32"/>
      <c r="F566" s="32"/>
      <c r="G566" s="32"/>
      <c r="H566" s="32"/>
      <c r="I566" s="32"/>
      <c r="J566" s="32"/>
      <c r="K566" s="32"/>
      <c r="L566" s="32"/>
      <c r="M566" s="32"/>
      <c r="N566" s="32"/>
      <c r="O566" s="32"/>
      <c r="P566" s="8"/>
    </row>
    <row r="567" spans="1:16">
      <c r="A567" s="106"/>
      <c r="B567" s="106"/>
      <c r="C567" s="11" t="s">
        <v>27</v>
      </c>
      <c r="D567" s="32"/>
      <c r="E567" s="32"/>
      <c r="F567" s="32"/>
      <c r="G567" s="32"/>
      <c r="H567" s="32"/>
      <c r="I567" s="32"/>
      <c r="J567" s="32"/>
      <c r="K567" s="32"/>
      <c r="L567" s="32"/>
      <c r="M567" s="32"/>
      <c r="N567" s="32"/>
      <c r="O567" s="32"/>
      <c r="P567" s="8"/>
    </row>
    <row r="568" spans="1:16">
      <c r="A568" s="106"/>
      <c r="B568" s="106"/>
      <c r="C568" s="11" t="s">
        <v>19</v>
      </c>
      <c r="D568" s="32">
        <f>'приложение 9'!H432+'приложение 9'!H433</f>
        <v>0</v>
      </c>
      <c r="E568" s="32">
        <f>'приложение 9'!I432+'приложение 9'!I433</f>
        <v>0</v>
      </c>
      <c r="F568" s="32">
        <f>'приложение 9'!J432+'приложение 9'!J433</f>
        <v>0</v>
      </c>
      <c r="G568" s="32">
        <f>'приложение 9'!K432+'приложение 9'!K433</f>
        <v>0</v>
      </c>
      <c r="H568" s="32">
        <f>'приложение 9'!L432+'приложение 9'!L433</f>
        <v>0</v>
      </c>
      <c r="I568" s="32">
        <f>'приложение 9'!M432+'приложение 9'!M433</f>
        <v>0</v>
      </c>
      <c r="J568" s="32">
        <f>'приложение 9'!N432+'приложение 9'!N433</f>
        <v>0</v>
      </c>
      <c r="K568" s="32">
        <f>'приложение 9'!O432+'приложение 9'!O433</f>
        <v>0</v>
      </c>
      <c r="L568" s="32">
        <f>'приложение 9'!P432+'приложение 9'!P433</f>
        <v>5800</v>
      </c>
      <c r="M568" s="32">
        <f>'приложение 9'!Q432+'приложение 9'!Q433</f>
        <v>5800</v>
      </c>
      <c r="N568" s="32">
        <f>'приложение 9'!R432+'приложение 9'!R433</f>
        <v>0</v>
      </c>
      <c r="O568" s="32">
        <f>'приложение 9'!S432+'приложение 9'!S433</f>
        <v>0</v>
      </c>
      <c r="P568" s="8"/>
    </row>
    <row r="569" spans="1:16">
      <c r="A569" s="106"/>
      <c r="B569" s="106"/>
      <c r="C569" s="11" t="s">
        <v>20</v>
      </c>
      <c r="D569" s="32">
        <f>'приложение 9'!H434</f>
        <v>14</v>
      </c>
      <c r="E569" s="32">
        <f>'приложение 9'!I434</f>
        <v>14</v>
      </c>
      <c r="F569" s="32">
        <f>'приложение 9'!J434</f>
        <v>0</v>
      </c>
      <c r="G569" s="32">
        <f>'приложение 9'!K434</f>
        <v>0</v>
      </c>
      <c r="H569" s="32">
        <f>'приложение 9'!L434</f>
        <v>0</v>
      </c>
      <c r="I569" s="32">
        <f>'приложение 9'!M434</f>
        <v>0</v>
      </c>
      <c r="J569" s="32">
        <f>'приложение 9'!N434</f>
        <v>0</v>
      </c>
      <c r="K569" s="32">
        <f>'приложение 9'!O434</f>
        <v>0</v>
      </c>
      <c r="L569" s="32">
        <f>'приложение 9'!P434</f>
        <v>48</v>
      </c>
      <c r="M569" s="32">
        <f>'приложение 9'!Q434</f>
        <v>48</v>
      </c>
      <c r="N569" s="32">
        <f>'приложение 9'!R434</f>
        <v>75.900000000000006</v>
      </c>
      <c r="O569" s="32">
        <f>'приложение 9'!S434</f>
        <v>97.14</v>
      </c>
      <c r="P569" s="8"/>
    </row>
    <row r="570" spans="1:16">
      <c r="A570" s="106"/>
      <c r="B570" s="106"/>
      <c r="C570" s="11" t="s">
        <v>21</v>
      </c>
      <c r="D570" s="32"/>
      <c r="E570" s="32"/>
      <c r="F570" s="32"/>
      <c r="G570" s="32"/>
      <c r="H570" s="32"/>
      <c r="I570" s="32"/>
      <c r="J570" s="32"/>
      <c r="K570" s="32"/>
      <c r="L570" s="32"/>
      <c r="M570" s="32"/>
      <c r="N570" s="8"/>
      <c r="O570" s="8"/>
      <c r="P570" s="8"/>
    </row>
    <row r="571" spans="1:16">
      <c r="A571" s="106"/>
      <c r="B571" s="106"/>
      <c r="C571" s="11" t="s">
        <v>22</v>
      </c>
      <c r="D571" s="7"/>
      <c r="E571" s="7"/>
      <c r="F571" s="7"/>
      <c r="G571" s="7"/>
      <c r="H571" s="7"/>
      <c r="I571" s="7"/>
      <c r="J571" s="7"/>
      <c r="K571" s="7"/>
      <c r="L571" s="32"/>
      <c r="M571" s="32"/>
      <c r="N571" s="8"/>
      <c r="O571" s="8"/>
      <c r="P571" s="8"/>
    </row>
    <row r="572" spans="1:16">
      <c r="A572" s="106"/>
      <c r="B572" s="106"/>
      <c r="C572" s="11" t="s">
        <v>23</v>
      </c>
      <c r="D572" s="7"/>
      <c r="E572" s="7"/>
      <c r="F572" s="7"/>
      <c r="G572" s="7"/>
      <c r="H572" s="7"/>
      <c r="I572" s="7"/>
      <c r="J572" s="7"/>
      <c r="K572" s="7"/>
      <c r="L572" s="32"/>
      <c r="M572" s="32"/>
      <c r="N572" s="8"/>
      <c r="O572" s="8"/>
      <c r="P572" s="8"/>
    </row>
    <row r="573" spans="1:16" ht="13.5" customHeight="1">
      <c r="A573" s="107" t="s">
        <v>15</v>
      </c>
      <c r="B573" s="108" t="s">
        <v>558</v>
      </c>
      <c r="C573" s="11" t="s">
        <v>16</v>
      </c>
      <c r="D573" s="39">
        <f>SUM(D575:D580)</f>
        <v>70546.858999999997</v>
      </c>
      <c r="E573" s="39">
        <f t="shared" ref="E573" si="207">SUM(E575:E580)</f>
        <v>68594.659</v>
      </c>
      <c r="F573" s="36">
        <f t="shared" ref="F573:K573" si="208">SUM(F575:F580)</f>
        <v>16595.336600000002</v>
      </c>
      <c r="G573" s="36">
        <f t="shared" si="208"/>
        <v>16569.29423</v>
      </c>
      <c r="H573" s="36">
        <f t="shared" si="208"/>
        <v>32733.487079999999</v>
      </c>
      <c r="I573" s="36">
        <f t="shared" si="208"/>
        <v>32718.67884</v>
      </c>
      <c r="J573" s="36">
        <f t="shared" si="208"/>
        <v>46681.711329999998</v>
      </c>
      <c r="K573" s="36">
        <f t="shared" si="208"/>
        <v>46645.176239999993</v>
      </c>
      <c r="L573" s="36">
        <f>SUM(L575:L580)</f>
        <v>70348.968000000008</v>
      </c>
      <c r="M573" s="36">
        <f>SUM(M575:M580)</f>
        <v>70335.005499999999</v>
      </c>
      <c r="N573" s="36">
        <f t="shared" ref="N573:O573" si="209">SUM(N575:N580)</f>
        <v>67307.781000000003</v>
      </c>
      <c r="O573" s="36">
        <f t="shared" si="209"/>
        <v>67307.781000000003</v>
      </c>
      <c r="P573" s="5"/>
    </row>
    <row r="574" spans="1:16">
      <c r="A574" s="107"/>
      <c r="B574" s="108"/>
      <c r="C574" s="11" t="s">
        <v>17</v>
      </c>
      <c r="D574" s="38"/>
      <c r="E574" s="38"/>
      <c r="F574" s="38"/>
      <c r="G574" s="38"/>
      <c r="H574" s="38"/>
      <c r="I574" s="38"/>
      <c r="J574" s="38"/>
      <c r="K574" s="38"/>
      <c r="L574" s="38"/>
      <c r="M574" s="38"/>
      <c r="N574" s="3"/>
      <c r="O574" s="3"/>
      <c r="P574" s="5"/>
    </row>
    <row r="575" spans="1:16">
      <c r="A575" s="107"/>
      <c r="B575" s="108"/>
      <c r="C575" s="11" t="s">
        <v>18</v>
      </c>
      <c r="D575" s="31"/>
      <c r="E575" s="31"/>
      <c r="F575" s="31"/>
      <c r="G575" s="31"/>
      <c r="H575" s="31"/>
      <c r="I575" s="31"/>
      <c r="J575" s="31"/>
      <c r="K575" s="31"/>
      <c r="L575" s="31"/>
      <c r="M575" s="31"/>
      <c r="N575" s="6"/>
      <c r="O575" s="6"/>
      <c r="P575" s="6"/>
    </row>
    <row r="576" spans="1:16">
      <c r="A576" s="107"/>
      <c r="B576" s="108"/>
      <c r="C576" s="11" t="s">
        <v>19</v>
      </c>
      <c r="D576" s="32">
        <f t="shared" ref="D576:K576" si="210">D584+D592</f>
        <v>12038.8</v>
      </c>
      <c r="E576" s="32">
        <f t="shared" si="210"/>
        <v>12038.8</v>
      </c>
      <c r="F576" s="32">
        <f t="shared" si="210"/>
        <v>2587.1999999999998</v>
      </c>
      <c r="G576" s="32">
        <f t="shared" si="210"/>
        <v>2587.1999999999998</v>
      </c>
      <c r="H576" s="32">
        <f t="shared" si="210"/>
        <v>5174.3999999999996</v>
      </c>
      <c r="I576" s="32">
        <f t="shared" si="210"/>
        <v>5174.3999999999996</v>
      </c>
      <c r="J576" s="32">
        <f t="shared" si="210"/>
        <v>7761.6</v>
      </c>
      <c r="K576" s="32">
        <f t="shared" si="210"/>
        <v>7761.6</v>
      </c>
      <c r="L576" s="32">
        <f>L584+L592</f>
        <v>10348.700000000001</v>
      </c>
      <c r="M576" s="32">
        <f t="shared" ref="M576:O576" si="211">M584+M592</f>
        <v>10348.700000000001</v>
      </c>
      <c r="N576" s="32">
        <f t="shared" si="211"/>
        <v>8279</v>
      </c>
      <c r="O576" s="32">
        <f t="shared" si="211"/>
        <v>8279</v>
      </c>
      <c r="P576" s="8"/>
    </row>
    <row r="577" spans="1:16">
      <c r="A577" s="107"/>
      <c r="B577" s="108"/>
      <c r="C577" s="11" t="s">
        <v>20</v>
      </c>
      <c r="D577" s="32">
        <f>D585+D593</f>
        <v>58508.058999999994</v>
      </c>
      <c r="E577" s="32">
        <f t="shared" ref="E577:O577" si="212">E585+E593</f>
        <v>56555.858999999997</v>
      </c>
      <c r="F577" s="32">
        <f t="shared" si="212"/>
        <v>14008.136600000002</v>
      </c>
      <c r="G577" s="32">
        <f t="shared" si="212"/>
        <v>13982.094230000001</v>
      </c>
      <c r="H577" s="32">
        <f t="shared" si="212"/>
        <v>27559.087080000001</v>
      </c>
      <c r="I577" s="32">
        <f t="shared" si="212"/>
        <v>27544.278840000003</v>
      </c>
      <c r="J577" s="32">
        <f t="shared" si="212"/>
        <v>38920.11133</v>
      </c>
      <c r="K577" s="32">
        <f t="shared" si="212"/>
        <v>38883.576239999995</v>
      </c>
      <c r="L577" s="32">
        <f t="shared" si="212"/>
        <v>60000.268000000004</v>
      </c>
      <c r="M577" s="32">
        <f t="shared" si="212"/>
        <v>59986.305500000002</v>
      </c>
      <c r="N577" s="32">
        <f t="shared" si="212"/>
        <v>59028.781000000003</v>
      </c>
      <c r="O577" s="32">
        <f t="shared" si="212"/>
        <v>59028.781000000003</v>
      </c>
      <c r="P577" s="8"/>
    </row>
    <row r="578" spans="1:16">
      <c r="A578" s="107"/>
      <c r="B578" s="108"/>
      <c r="C578" s="11" t="s">
        <v>21</v>
      </c>
      <c r="D578" s="32"/>
      <c r="E578" s="32"/>
      <c r="F578" s="32"/>
      <c r="G578" s="32"/>
      <c r="H578" s="32"/>
      <c r="I578" s="32"/>
      <c r="J578" s="32"/>
      <c r="K578" s="32"/>
      <c r="L578" s="32"/>
      <c r="M578" s="32"/>
      <c r="N578" s="32"/>
      <c r="O578" s="32"/>
      <c r="P578" s="8"/>
    </row>
    <row r="579" spans="1:16">
      <c r="A579" s="107"/>
      <c r="B579" s="108"/>
      <c r="C579" s="11" t="s">
        <v>22</v>
      </c>
      <c r="D579" s="32"/>
      <c r="E579" s="32"/>
      <c r="F579" s="32"/>
      <c r="G579" s="32"/>
      <c r="H579" s="32"/>
      <c r="I579" s="32"/>
      <c r="J579" s="32"/>
      <c r="K579" s="32"/>
      <c r="L579" s="32"/>
      <c r="M579" s="32"/>
      <c r="N579" s="32"/>
      <c r="O579" s="32"/>
      <c r="P579" s="8"/>
    </row>
    <row r="580" spans="1:16">
      <c r="A580" s="107"/>
      <c r="B580" s="108"/>
      <c r="C580" s="11" t="s">
        <v>23</v>
      </c>
      <c r="D580" s="32"/>
      <c r="E580" s="32"/>
      <c r="F580" s="32"/>
      <c r="G580" s="32"/>
      <c r="H580" s="32"/>
      <c r="I580" s="32"/>
      <c r="J580" s="32"/>
      <c r="K580" s="32"/>
      <c r="L580" s="32"/>
      <c r="M580" s="32"/>
      <c r="N580" s="32"/>
      <c r="O580" s="32"/>
      <c r="P580" s="8"/>
    </row>
    <row r="581" spans="1:16" ht="13.5" customHeight="1">
      <c r="A581" s="106" t="s">
        <v>25</v>
      </c>
      <c r="B581" s="106" t="s">
        <v>560</v>
      </c>
      <c r="C581" s="11" t="s">
        <v>16</v>
      </c>
      <c r="D581" s="32">
        <f t="shared" ref="D581:E581" si="213">SUM(D583:D588)</f>
        <v>68757.659</v>
      </c>
      <c r="E581" s="32">
        <f t="shared" si="213"/>
        <v>66839.137000000002</v>
      </c>
      <c r="F581" s="32">
        <f t="shared" ref="F581:K581" si="214">SUM(F583:F588)</f>
        <v>16165.749</v>
      </c>
      <c r="G581" s="32">
        <f t="shared" si="214"/>
        <v>16165.749</v>
      </c>
      <c r="H581" s="32">
        <f t="shared" si="214"/>
        <v>31622.783000000003</v>
      </c>
      <c r="I581" s="32">
        <f t="shared" si="214"/>
        <v>31622.783000000003</v>
      </c>
      <c r="J581" s="32">
        <f t="shared" si="214"/>
        <v>44703.087999999996</v>
      </c>
      <c r="K581" s="32">
        <f t="shared" si="214"/>
        <v>44703.087999999996</v>
      </c>
      <c r="L581" s="32">
        <f>SUM(L583:L588)</f>
        <v>67359.06</v>
      </c>
      <c r="M581" s="32">
        <f>SUM(M583:M588)</f>
        <v>67359.06</v>
      </c>
      <c r="N581" s="32">
        <f t="shared" ref="N581:O581" si="215">SUM(N583:N588)</f>
        <v>65199.3</v>
      </c>
      <c r="O581" s="32">
        <f t="shared" si="215"/>
        <v>65199.3</v>
      </c>
      <c r="P581" s="8"/>
    </row>
    <row r="582" spans="1:16">
      <c r="A582" s="106"/>
      <c r="B582" s="106"/>
      <c r="C582" s="11" t="s">
        <v>17</v>
      </c>
      <c r="D582" s="32"/>
      <c r="E582" s="32"/>
      <c r="F582" s="32"/>
      <c r="G582" s="32"/>
      <c r="H582" s="32"/>
      <c r="I582" s="32"/>
      <c r="J582" s="32"/>
      <c r="K582" s="32"/>
      <c r="L582" s="32"/>
      <c r="M582" s="32"/>
      <c r="N582" s="32"/>
      <c r="O582" s="32"/>
      <c r="P582" s="8"/>
    </row>
    <row r="583" spans="1:16">
      <c r="A583" s="106"/>
      <c r="B583" s="106"/>
      <c r="C583" s="11" t="s">
        <v>26</v>
      </c>
      <c r="D583" s="32"/>
      <c r="E583" s="32"/>
      <c r="F583" s="32"/>
      <c r="G583" s="32"/>
      <c r="H583" s="32"/>
      <c r="I583" s="32"/>
      <c r="J583" s="32"/>
      <c r="K583" s="32"/>
      <c r="L583" s="32"/>
      <c r="M583" s="32"/>
      <c r="N583" s="32"/>
      <c r="O583" s="32"/>
      <c r="P583" s="8"/>
    </row>
    <row r="584" spans="1:16">
      <c r="A584" s="106"/>
      <c r="B584" s="106"/>
      <c r="C584" s="11" t="s">
        <v>19</v>
      </c>
      <c r="D584" s="32">
        <f>'приложение 9'!H445</f>
        <v>12038.8</v>
      </c>
      <c r="E584" s="32">
        <f>'приложение 9'!I445</f>
        <v>12038.8</v>
      </c>
      <c r="F584" s="32">
        <f>'приложение 9'!J445</f>
        <v>2587.1999999999998</v>
      </c>
      <c r="G584" s="32">
        <f>'приложение 9'!K445</f>
        <v>2587.1999999999998</v>
      </c>
      <c r="H584" s="32">
        <f>'приложение 9'!L445</f>
        <v>5174.3999999999996</v>
      </c>
      <c r="I584" s="32">
        <f>'приложение 9'!M445</f>
        <v>5174.3999999999996</v>
      </c>
      <c r="J584" s="32">
        <f>'приложение 9'!N445</f>
        <v>7761.6</v>
      </c>
      <c r="K584" s="32">
        <f>'приложение 9'!O445</f>
        <v>7761.6</v>
      </c>
      <c r="L584" s="32">
        <f>'приложение 9'!P445</f>
        <v>10348.700000000001</v>
      </c>
      <c r="M584" s="32">
        <f>'приложение 9'!Q445</f>
        <v>10348.700000000001</v>
      </c>
      <c r="N584" s="32">
        <f>'приложение 9'!R445</f>
        <v>8279</v>
      </c>
      <c r="O584" s="32">
        <f>'приложение 9'!S445</f>
        <v>8279</v>
      </c>
      <c r="P584" s="8"/>
    </row>
    <row r="585" spans="1:16">
      <c r="A585" s="106"/>
      <c r="B585" s="106"/>
      <c r="C585" s="11" t="s">
        <v>20</v>
      </c>
      <c r="D585" s="32">
        <f>'приложение 9'!H446+'приложение 9'!H447+'приложение 9'!H448</f>
        <v>56718.858999999997</v>
      </c>
      <c r="E585" s="32">
        <f>'приложение 9'!I446+'приложение 9'!I447+'приложение 9'!I448</f>
        <v>54800.337</v>
      </c>
      <c r="F585" s="32">
        <f>'приложение 9'!J446+'приложение 9'!J447+'приложение 9'!J448</f>
        <v>13578.549000000001</v>
      </c>
      <c r="G585" s="32">
        <f>'приложение 9'!K446+'приложение 9'!K447+'приложение 9'!K448</f>
        <v>13578.549000000001</v>
      </c>
      <c r="H585" s="32">
        <f>'приложение 9'!L446+'приложение 9'!L447+'приложение 9'!L448</f>
        <v>26448.383000000002</v>
      </c>
      <c r="I585" s="32">
        <f>'приложение 9'!M446+'приложение 9'!M447+'приложение 9'!M448</f>
        <v>26448.383000000002</v>
      </c>
      <c r="J585" s="32">
        <f>'приложение 9'!N446+'приложение 9'!N447+'приложение 9'!N448</f>
        <v>36941.487999999998</v>
      </c>
      <c r="K585" s="32">
        <f>'приложение 9'!O446+'приложение 9'!O447+'приложение 9'!O448</f>
        <v>36941.487999999998</v>
      </c>
      <c r="L585" s="32">
        <f>'приложение 9'!P446+'приложение 9'!P447+'приложение 9'!P448</f>
        <v>57010.36</v>
      </c>
      <c r="M585" s="32">
        <f>'приложение 9'!Q446+'приложение 9'!Q447+'приложение 9'!Q448</f>
        <v>57010.36</v>
      </c>
      <c r="N585" s="32">
        <f>'приложение 9'!R446+'приложение 9'!R447+'приложение 9'!R448</f>
        <v>56920.3</v>
      </c>
      <c r="O585" s="32">
        <f>'приложение 9'!S446+'приложение 9'!S447+'приложение 9'!S448</f>
        <v>56920.3</v>
      </c>
      <c r="P585" s="8"/>
    </row>
    <row r="586" spans="1:16">
      <c r="A586" s="106"/>
      <c r="B586" s="106"/>
      <c r="C586" s="11" t="s">
        <v>21</v>
      </c>
      <c r="D586" s="32"/>
      <c r="E586" s="32"/>
      <c r="F586" s="32"/>
      <c r="G586" s="32"/>
      <c r="H586" s="32"/>
      <c r="I586" s="32"/>
      <c r="J586" s="32"/>
      <c r="K586" s="32"/>
      <c r="L586" s="32"/>
      <c r="M586" s="32"/>
      <c r="N586" s="32"/>
      <c r="O586" s="32"/>
      <c r="P586" s="8"/>
    </row>
    <row r="587" spans="1:16">
      <c r="A587" s="106"/>
      <c r="B587" s="106"/>
      <c r="C587" s="11" t="s">
        <v>22</v>
      </c>
      <c r="D587" s="32"/>
      <c r="E587" s="32"/>
      <c r="F587" s="32"/>
      <c r="G587" s="32"/>
      <c r="H587" s="32"/>
      <c r="I587" s="32"/>
      <c r="J587" s="32"/>
      <c r="K587" s="32"/>
      <c r="L587" s="32"/>
      <c r="M587" s="32"/>
      <c r="N587" s="32"/>
      <c r="O587" s="32"/>
      <c r="P587" s="8"/>
    </row>
    <row r="588" spans="1:16">
      <c r="A588" s="106"/>
      <c r="B588" s="106"/>
      <c r="C588" s="11" t="s">
        <v>23</v>
      </c>
      <c r="D588" s="32"/>
      <c r="E588" s="32"/>
      <c r="F588" s="32"/>
      <c r="G588" s="32"/>
      <c r="H588" s="32"/>
      <c r="I588" s="32"/>
      <c r="J588" s="32"/>
      <c r="K588" s="32"/>
      <c r="L588" s="32"/>
      <c r="M588" s="32"/>
      <c r="N588" s="32"/>
      <c r="O588" s="32"/>
      <c r="P588" s="8"/>
    </row>
    <row r="589" spans="1:16" ht="13.5" customHeight="1">
      <c r="A589" s="106" t="s">
        <v>530</v>
      </c>
      <c r="B589" s="106" t="s">
        <v>559</v>
      </c>
      <c r="C589" s="35" t="s">
        <v>16</v>
      </c>
      <c r="D589" s="32">
        <f t="shared" ref="D589:E589" si="216">SUM(D591:D596)</f>
        <v>1789.2</v>
      </c>
      <c r="E589" s="32">
        <f t="shared" si="216"/>
        <v>1755.5220000000002</v>
      </c>
      <c r="F589" s="32">
        <f t="shared" ref="F589:K589" si="217">SUM(F591:F596)</f>
        <v>429.58759999999995</v>
      </c>
      <c r="G589" s="32">
        <f t="shared" si="217"/>
        <v>403.54523</v>
      </c>
      <c r="H589" s="32">
        <f t="shared" si="217"/>
        <v>1110.70408</v>
      </c>
      <c r="I589" s="32">
        <f t="shared" si="217"/>
        <v>1095.8958399999999</v>
      </c>
      <c r="J589" s="32">
        <f t="shared" si="217"/>
        <v>1978.6233299999999</v>
      </c>
      <c r="K589" s="32">
        <f t="shared" si="217"/>
        <v>1942.08824</v>
      </c>
      <c r="L589" s="32">
        <f>SUM(L591:L596)</f>
        <v>2989.9079999999999</v>
      </c>
      <c r="M589" s="32">
        <f>SUM(M591:M596)</f>
        <v>2975.9454999999998</v>
      </c>
      <c r="N589" s="32">
        <f t="shared" ref="N589:O589" si="218">SUM(N591:N596)</f>
        <v>2108.4809999999998</v>
      </c>
      <c r="O589" s="32">
        <f t="shared" si="218"/>
        <v>2108.4809999999998</v>
      </c>
      <c r="P589" s="8"/>
    </row>
    <row r="590" spans="1:16">
      <c r="A590" s="106"/>
      <c r="B590" s="106"/>
      <c r="C590" s="35" t="s">
        <v>17</v>
      </c>
      <c r="D590" s="32"/>
      <c r="E590" s="32"/>
      <c r="F590" s="32"/>
      <c r="G590" s="32"/>
      <c r="H590" s="32"/>
      <c r="I590" s="32"/>
      <c r="J590" s="32"/>
      <c r="K590" s="32"/>
      <c r="L590" s="32"/>
      <c r="M590" s="32"/>
      <c r="N590" s="32"/>
      <c r="O590" s="32"/>
      <c r="P590" s="8"/>
    </row>
    <row r="591" spans="1:16">
      <c r="A591" s="106"/>
      <c r="B591" s="106"/>
      <c r="C591" s="35" t="s">
        <v>27</v>
      </c>
      <c r="D591" s="32"/>
      <c r="E591" s="32"/>
      <c r="F591" s="32"/>
      <c r="G591" s="32"/>
      <c r="H591" s="32"/>
      <c r="I591" s="32"/>
      <c r="J591" s="32"/>
      <c r="K591" s="32"/>
      <c r="L591" s="32"/>
      <c r="M591" s="32"/>
      <c r="N591" s="32"/>
      <c r="O591" s="32"/>
      <c r="P591" s="8"/>
    </row>
    <row r="592" spans="1:16">
      <c r="A592" s="106"/>
      <c r="B592" s="106"/>
      <c r="C592" s="35" t="s">
        <v>19</v>
      </c>
      <c r="D592" s="32"/>
      <c r="E592" s="32"/>
      <c r="F592" s="32"/>
      <c r="G592" s="32"/>
      <c r="H592" s="32"/>
      <c r="I592" s="32"/>
      <c r="J592" s="32"/>
      <c r="K592" s="32"/>
      <c r="L592" s="32"/>
      <c r="M592" s="32"/>
      <c r="N592" s="32"/>
      <c r="O592" s="32"/>
      <c r="P592" s="8"/>
    </row>
    <row r="593" spans="1:16">
      <c r="A593" s="106"/>
      <c r="B593" s="106"/>
      <c r="C593" s="35" t="s">
        <v>20</v>
      </c>
      <c r="D593" s="32">
        <f>'приложение 9'!H453+'приложение 9'!H452+'приложение 9'!H451</f>
        <v>1789.2</v>
      </c>
      <c r="E593" s="32">
        <f>'приложение 9'!I453+'приложение 9'!I452+'приложение 9'!I451</f>
        <v>1755.5220000000002</v>
      </c>
      <c r="F593" s="32">
        <f>'приложение 9'!J453+'приложение 9'!J452+'приложение 9'!J451</f>
        <v>429.58759999999995</v>
      </c>
      <c r="G593" s="32">
        <f>'приложение 9'!K453+'приложение 9'!K452+'приложение 9'!K451</f>
        <v>403.54523</v>
      </c>
      <c r="H593" s="32">
        <f>'приложение 9'!L453+'приложение 9'!L452+'приложение 9'!L451</f>
        <v>1110.70408</v>
      </c>
      <c r="I593" s="32">
        <f>'приложение 9'!M453+'приложение 9'!M452+'приложение 9'!M451</f>
        <v>1095.8958399999999</v>
      </c>
      <c r="J593" s="32">
        <f>'приложение 9'!N453+'приложение 9'!N452+'приложение 9'!N451</f>
        <v>1978.6233299999999</v>
      </c>
      <c r="K593" s="32">
        <f>'приложение 9'!O453+'приложение 9'!O452+'приложение 9'!O451</f>
        <v>1942.08824</v>
      </c>
      <c r="L593" s="32">
        <f>'приложение 9'!P453+'приложение 9'!P452+'приложение 9'!P451</f>
        <v>2989.9079999999999</v>
      </c>
      <c r="M593" s="32">
        <f>'приложение 9'!Q453+'приложение 9'!Q452+'приложение 9'!Q451</f>
        <v>2975.9454999999998</v>
      </c>
      <c r="N593" s="32">
        <f>'приложение 9'!R453+'приложение 9'!R452+'приложение 9'!R451</f>
        <v>2108.4809999999998</v>
      </c>
      <c r="O593" s="32">
        <f>'приложение 9'!S453+'приложение 9'!S452+'приложение 9'!S451</f>
        <v>2108.4809999999998</v>
      </c>
      <c r="P593" s="8"/>
    </row>
    <row r="594" spans="1:16">
      <c r="A594" s="106"/>
      <c r="B594" s="106"/>
      <c r="C594" s="35" t="s">
        <v>21</v>
      </c>
      <c r="D594" s="7"/>
      <c r="E594" s="7"/>
      <c r="F594" s="7"/>
      <c r="G594" s="7"/>
      <c r="H594" s="7"/>
      <c r="I594" s="7"/>
      <c r="J594" s="7"/>
      <c r="K594" s="7"/>
      <c r="L594" s="32"/>
      <c r="M594" s="32"/>
      <c r="N594" s="8"/>
      <c r="O594" s="8"/>
      <c r="P594" s="8"/>
    </row>
    <row r="595" spans="1:16">
      <c r="A595" s="106"/>
      <c r="B595" s="106"/>
      <c r="C595" s="35" t="s">
        <v>22</v>
      </c>
      <c r="D595" s="7"/>
      <c r="E595" s="7"/>
      <c r="F595" s="7"/>
      <c r="G595" s="7"/>
      <c r="H595" s="7"/>
      <c r="I595" s="7"/>
      <c r="J595" s="7"/>
      <c r="K595" s="7"/>
      <c r="L595" s="32"/>
      <c r="M595" s="32"/>
      <c r="N595" s="8"/>
      <c r="O595" s="8"/>
      <c r="P595" s="8"/>
    </row>
    <row r="596" spans="1:16">
      <c r="A596" s="106"/>
      <c r="B596" s="106"/>
      <c r="C596" s="35" t="s">
        <v>23</v>
      </c>
      <c r="D596" s="7"/>
      <c r="E596" s="7"/>
      <c r="F596" s="7"/>
      <c r="G596" s="7"/>
      <c r="H596" s="7"/>
      <c r="I596" s="7"/>
      <c r="J596" s="7"/>
      <c r="K596" s="7"/>
      <c r="L596" s="32"/>
      <c r="M596" s="32"/>
      <c r="N596" s="8"/>
      <c r="O596" s="8"/>
      <c r="P596" s="8"/>
    </row>
    <row r="597" spans="1:16" ht="13.5" customHeight="1">
      <c r="A597" s="107" t="s">
        <v>15</v>
      </c>
      <c r="B597" s="108" t="s">
        <v>561</v>
      </c>
      <c r="C597" s="11" t="s">
        <v>16</v>
      </c>
      <c r="D597" s="39">
        <f t="shared" ref="D597:E597" si="219">SUM(D599:D604)</f>
        <v>32431.200000000001</v>
      </c>
      <c r="E597" s="39">
        <f t="shared" si="219"/>
        <v>3480.1882000000001</v>
      </c>
      <c r="F597" s="36">
        <f t="shared" ref="F597:K597" si="220">SUM(F599:F604)</f>
        <v>15051.161</v>
      </c>
      <c r="G597" s="36">
        <f t="shared" si="220"/>
        <v>15051.13751</v>
      </c>
      <c r="H597" s="36">
        <f t="shared" si="220"/>
        <v>18708.357510000002</v>
      </c>
      <c r="I597" s="36">
        <f t="shared" si="220"/>
        <v>18708.357510000002</v>
      </c>
      <c r="J597" s="36">
        <f t="shared" si="220"/>
        <v>18708.357510000002</v>
      </c>
      <c r="K597" s="36">
        <f t="shared" si="220"/>
        <v>18708.357510000002</v>
      </c>
      <c r="L597" s="36">
        <f>SUM(L599:L604)</f>
        <v>141410.25751</v>
      </c>
      <c r="M597" s="36">
        <f>SUM(M599:M604)</f>
        <v>102308.15677</v>
      </c>
      <c r="N597" s="36">
        <f t="shared" ref="N597:O597" si="221">SUM(N599:N604)</f>
        <v>6469.6</v>
      </c>
      <c r="O597" s="36">
        <f t="shared" si="221"/>
        <v>5184</v>
      </c>
      <c r="P597" s="5"/>
    </row>
    <row r="598" spans="1:16">
      <c r="A598" s="107"/>
      <c r="B598" s="108"/>
      <c r="C598" s="11" t="s">
        <v>17</v>
      </c>
      <c r="D598" s="41"/>
      <c r="E598" s="41"/>
      <c r="F598" s="37"/>
      <c r="G598" s="37"/>
      <c r="H598" s="37"/>
      <c r="I598" s="37"/>
      <c r="J598" s="37"/>
      <c r="K598" s="37"/>
      <c r="L598" s="30"/>
      <c r="M598" s="30"/>
      <c r="N598" s="3"/>
      <c r="O598" s="3"/>
      <c r="P598" s="5"/>
    </row>
    <row r="599" spans="1:16">
      <c r="A599" s="107"/>
      <c r="B599" s="108"/>
      <c r="C599" s="11" t="s">
        <v>18</v>
      </c>
      <c r="D599" s="33">
        <f t="shared" ref="D599:E599" si="222">D607</f>
        <v>10887.3</v>
      </c>
      <c r="E599" s="33">
        <f t="shared" si="222"/>
        <v>3275.21495</v>
      </c>
      <c r="F599" s="33">
        <f t="shared" ref="F599:K599" si="223">F607</f>
        <v>0</v>
      </c>
      <c r="G599" s="33">
        <f t="shared" si="223"/>
        <v>0</v>
      </c>
      <c r="H599" s="33">
        <f t="shared" si="223"/>
        <v>3657.22</v>
      </c>
      <c r="I599" s="33">
        <f t="shared" si="223"/>
        <v>3657.22</v>
      </c>
      <c r="J599" s="33">
        <f t="shared" si="223"/>
        <v>3657.22</v>
      </c>
      <c r="K599" s="33">
        <f t="shared" si="223"/>
        <v>3657.22</v>
      </c>
      <c r="L599" s="33">
        <f t="shared" ref="L599:O601" si="224">L607</f>
        <v>70595.22</v>
      </c>
      <c r="M599" s="33">
        <f t="shared" si="224"/>
        <v>60710.269780000002</v>
      </c>
      <c r="N599" s="33">
        <f t="shared" si="224"/>
        <v>0</v>
      </c>
      <c r="O599" s="33">
        <f t="shared" si="224"/>
        <v>0</v>
      </c>
      <c r="P599" s="6"/>
    </row>
    <row r="600" spans="1:16">
      <c r="A600" s="107"/>
      <c r="B600" s="108"/>
      <c r="C600" s="11" t="s">
        <v>19</v>
      </c>
      <c r="D600" s="32">
        <f t="shared" ref="D600:E600" si="225">D608</f>
        <v>21330.5</v>
      </c>
      <c r="E600" s="32">
        <f t="shared" si="225"/>
        <v>0</v>
      </c>
      <c r="F600" s="32">
        <f t="shared" ref="F600:K600" si="226">F608</f>
        <v>3646.261</v>
      </c>
      <c r="G600" s="32">
        <f t="shared" si="226"/>
        <v>3646.261</v>
      </c>
      <c r="H600" s="32">
        <f t="shared" si="226"/>
        <v>3646.261</v>
      </c>
      <c r="I600" s="32">
        <f t="shared" si="226"/>
        <v>3646.261</v>
      </c>
      <c r="J600" s="32">
        <f t="shared" si="226"/>
        <v>3646.261</v>
      </c>
      <c r="K600" s="32">
        <f t="shared" si="226"/>
        <v>3646.261</v>
      </c>
      <c r="L600" s="32">
        <f t="shared" si="224"/>
        <v>59042.060999999994</v>
      </c>
      <c r="M600" s="32">
        <f t="shared" si="224"/>
        <v>29824.93923</v>
      </c>
      <c r="N600" s="32">
        <f t="shared" si="224"/>
        <v>3747.7</v>
      </c>
      <c r="O600" s="32">
        <f t="shared" si="224"/>
        <v>0</v>
      </c>
      <c r="P600" s="8"/>
    </row>
    <row r="601" spans="1:16">
      <c r="A601" s="107"/>
      <c r="B601" s="108"/>
      <c r="C601" s="11" t="s">
        <v>20</v>
      </c>
      <c r="D601" s="32">
        <f t="shared" ref="D601:E601" si="227">D609</f>
        <v>213.4</v>
      </c>
      <c r="E601" s="32">
        <f t="shared" si="227"/>
        <v>204.97325000000001</v>
      </c>
      <c r="F601" s="32">
        <f t="shared" ref="F601:K601" si="228">F609</f>
        <v>11404.9</v>
      </c>
      <c r="G601" s="32">
        <f t="shared" si="228"/>
        <v>11404.87651</v>
      </c>
      <c r="H601" s="32">
        <f t="shared" si="228"/>
        <v>11404.87651</v>
      </c>
      <c r="I601" s="32">
        <f t="shared" si="228"/>
        <v>11404.87651</v>
      </c>
      <c r="J601" s="32">
        <f t="shared" si="228"/>
        <v>11404.87651</v>
      </c>
      <c r="K601" s="32">
        <f t="shared" si="228"/>
        <v>11404.87651</v>
      </c>
      <c r="L601" s="32">
        <f t="shared" si="224"/>
        <v>11772.97651</v>
      </c>
      <c r="M601" s="32">
        <f t="shared" si="224"/>
        <v>11772.947760000001</v>
      </c>
      <c r="N601" s="32">
        <f>N609</f>
        <v>2721.9</v>
      </c>
      <c r="O601" s="32">
        <f t="shared" si="224"/>
        <v>5184</v>
      </c>
      <c r="P601" s="8"/>
    </row>
    <row r="602" spans="1:16">
      <c r="A602" s="107"/>
      <c r="B602" s="108"/>
      <c r="C602" s="11" t="s">
        <v>21</v>
      </c>
      <c r="D602" s="32"/>
      <c r="E602" s="32"/>
      <c r="F602" s="32"/>
      <c r="G602" s="32"/>
      <c r="H602" s="32"/>
      <c r="I602" s="32"/>
      <c r="J602" s="32"/>
      <c r="K602" s="32"/>
      <c r="L602" s="32"/>
      <c r="M602" s="32"/>
      <c r="N602" s="8"/>
      <c r="O602" s="8"/>
      <c r="P602" s="8"/>
    </row>
    <row r="603" spans="1:16">
      <c r="A603" s="107"/>
      <c r="B603" s="108"/>
      <c r="C603" s="11" t="s">
        <v>22</v>
      </c>
      <c r="D603" s="32"/>
      <c r="E603" s="32"/>
      <c r="F603" s="32"/>
      <c r="G603" s="32"/>
      <c r="H603" s="32"/>
      <c r="I603" s="32"/>
      <c r="J603" s="32"/>
      <c r="K603" s="32"/>
      <c r="L603" s="32"/>
      <c r="M603" s="32"/>
      <c r="N603" s="8"/>
      <c r="O603" s="8"/>
      <c r="P603" s="8"/>
    </row>
    <row r="604" spans="1:16">
      <c r="A604" s="107"/>
      <c r="B604" s="108"/>
      <c r="C604" s="11" t="s">
        <v>23</v>
      </c>
      <c r="D604" s="32"/>
      <c r="E604" s="32"/>
      <c r="F604" s="32"/>
      <c r="G604" s="32"/>
      <c r="H604" s="32"/>
      <c r="I604" s="32"/>
      <c r="J604" s="32"/>
      <c r="K604" s="32"/>
      <c r="L604" s="32"/>
      <c r="M604" s="32"/>
      <c r="N604" s="8"/>
      <c r="O604" s="8"/>
      <c r="P604" s="8"/>
    </row>
    <row r="605" spans="1:16" ht="13.5" customHeight="1">
      <c r="A605" s="106" t="s">
        <v>25</v>
      </c>
      <c r="B605" s="106" t="s">
        <v>562</v>
      </c>
      <c r="C605" s="11" t="s">
        <v>16</v>
      </c>
      <c r="D605" s="32">
        <f t="shared" ref="D605:E605" si="229">SUM(D607:D612)</f>
        <v>32431.200000000001</v>
      </c>
      <c r="E605" s="32">
        <f t="shared" si="229"/>
        <v>3480.1882000000001</v>
      </c>
      <c r="F605" s="32">
        <f t="shared" ref="F605:K605" si="230">SUM(F607:F612)</f>
        <v>15051.161</v>
      </c>
      <c r="G605" s="32">
        <f t="shared" si="230"/>
        <v>15051.13751</v>
      </c>
      <c r="H605" s="32">
        <f t="shared" si="230"/>
        <v>18708.357510000002</v>
      </c>
      <c r="I605" s="32">
        <f t="shared" si="230"/>
        <v>18708.357510000002</v>
      </c>
      <c r="J605" s="32">
        <f t="shared" si="230"/>
        <v>18708.357510000002</v>
      </c>
      <c r="K605" s="32">
        <f t="shared" si="230"/>
        <v>18708.357510000002</v>
      </c>
      <c r="L605" s="32">
        <f>SUM(L607:L612)</f>
        <v>141410.25751</v>
      </c>
      <c r="M605" s="32">
        <f>SUM(M607:M612)</f>
        <v>102308.15677</v>
      </c>
      <c r="N605" s="32">
        <f t="shared" ref="N605:O605" si="231">SUM(N607:N612)</f>
        <v>6469.6</v>
      </c>
      <c r="O605" s="32">
        <f t="shared" si="231"/>
        <v>5184</v>
      </c>
      <c r="P605" s="8"/>
    </row>
    <row r="606" spans="1:16">
      <c r="A606" s="106"/>
      <c r="B606" s="106"/>
      <c r="C606" s="11" t="s">
        <v>17</v>
      </c>
      <c r="D606" s="32"/>
      <c r="E606" s="32"/>
      <c r="F606" s="32"/>
      <c r="G606" s="32"/>
      <c r="H606" s="32"/>
      <c r="I606" s="32"/>
      <c r="J606" s="32"/>
      <c r="K606" s="32"/>
      <c r="L606" s="32"/>
      <c r="M606" s="32"/>
      <c r="N606" s="8"/>
      <c r="O606" s="8"/>
      <c r="P606" s="8"/>
    </row>
    <row r="607" spans="1:16">
      <c r="A607" s="106"/>
      <c r="B607" s="106"/>
      <c r="C607" s="11" t="s">
        <v>26</v>
      </c>
      <c r="D607" s="32">
        <f>'приложение 9'!H458</f>
        <v>10887.3</v>
      </c>
      <c r="E607" s="32">
        <f>'приложение 9'!I458</f>
        <v>3275.21495</v>
      </c>
      <c r="F607" s="32">
        <f>'приложение 9'!J458</f>
        <v>0</v>
      </c>
      <c r="G607" s="32">
        <f>'приложение 9'!K458</f>
        <v>0</v>
      </c>
      <c r="H607" s="32">
        <f>'приложение 9'!L458</f>
        <v>3657.22</v>
      </c>
      <c r="I607" s="32">
        <f>'приложение 9'!M458</f>
        <v>3657.22</v>
      </c>
      <c r="J607" s="32">
        <f>'приложение 9'!N458</f>
        <v>3657.22</v>
      </c>
      <c r="K607" s="32">
        <f>'приложение 9'!O458</f>
        <v>3657.22</v>
      </c>
      <c r="L607" s="32">
        <f>'приложение 9'!P458</f>
        <v>70595.22</v>
      </c>
      <c r="M607" s="32">
        <f>'приложение 9'!Q458</f>
        <v>60710.269780000002</v>
      </c>
      <c r="N607" s="32">
        <f>'приложение 9'!R458</f>
        <v>0</v>
      </c>
      <c r="O607" s="32">
        <f>'приложение 9'!S458</f>
        <v>0</v>
      </c>
      <c r="P607" s="8"/>
    </row>
    <row r="608" spans="1:16">
      <c r="A608" s="106"/>
      <c r="B608" s="106"/>
      <c r="C608" s="11" t="s">
        <v>19</v>
      </c>
      <c r="D608" s="32">
        <f>'приложение 9'!H459</f>
        <v>21330.5</v>
      </c>
      <c r="E608" s="32">
        <f>'приложение 9'!I459</f>
        <v>0</v>
      </c>
      <c r="F608" s="32">
        <f>'приложение 9'!J459</f>
        <v>3646.261</v>
      </c>
      <c r="G608" s="32">
        <f>'приложение 9'!K459</f>
        <v>3646.261</v>
      </c>
      <c r="H608" s="32">
        <f>'приложение 9'!L459</f>
        <v>3646.261</v>
      </c>
      <c r="I608" s="32">
        <f>'приложение 9'!M459</f>
        <v>3646.261</v>
      </c>
      <c r="J608" s="32">
        <f>'приложение 9'!N459</f>
        <v>3646.261</v>
      </c>
      <c r="K608" s="32">
        <f>'приложение 9'!O459</f>
        <v>3646.261</v>
      </c>
      <c r="L608" s="32">
        <f>'приложение 9'!P459</f>
        <v>59042.060999999994</v>
      </c>
      <c r="M608" s="32">
        <f>'приложение 9'!Q459</f>
        <v>29824.93923</v>
      </c>
      <c r="N608" s="32">
        <f>'приложение 9'!R459</f>
        <v>3747.7</v>
      </c>
      <c r="O608" s="32">
        <f>'приложение 9'!S459</f>
        <v>0</v>
      </c>
      <c r="P608" s="8"/>
    </row>
    <row r="609" spans="1:16">
      <c r="A609" s="106"/>
      <c r="B609" s="106"/>
      <c r="C609" s="11" t="s">
        <v>20</v>
      </c>
      <c r="D609" s="32">
        <f>'приложение 9'!H460+'приложение 9'!H461+'приложение 9'!H462</f>
        <v>213.4</v>
      </c>
      <c r="E609" s="32">
        <f>'приложение 9'!I460+'приложение 9'!I461+'приложение 9'!I462</f>
        <v>204.97325000000001</v>
      </c>
      <c r="F609" s="32">
        <f>'приложение 9'!J460+'приложение 9'!J461+'приложение 9'!J462</f>
        <v>11404.9</v>
      </c>
      <c r="G609" s="32">
        <f>'приложение 9'!K460+'приложение 9'!K461+'приложение 9'!K462</f>
        <v>11404.87651</v>
      </c>
      <c r="H609" s="32">
        <f>'приложение 9'!L460+'приложение 9'!L461+'приложение 9'!L462</f>
        <v>11404.87651</v>
      </c>
      <c r="I609" s="32">
        <f>'приложение 9'!M460+'приложение 9'!M461+'приложение 9'!M462</f>
        <v>11404.87651</v>
      </c>
      <c r="J609" s="32">
        <f>'приложение 9'!N460+'приложение 9'!N461+'приложение 9'!N462</f>
        <v>11404.87651</v>
      </c>
      <c r="K609" s="32">
        <f>'приложение 9'!O460+'приложение 9'!O461+'приложение 9'!O462</f>
        <v>11404.87651</v>
      </c>
      <c r="L609" s="32">
        <f>'приложение 9'!P460+'приложение 9'!P461+'приложение 9'!P462</f>
        <v>11772.97651</v>
      </c>
      <c r="M609" s="32">
        <f>'приложение 9'!Q460+'приложение 9'!Q461+'приложение 9'!Q462</f>
        <v>11772.947760000001</v>
      </c>
      <c r="N609" s="32">
        <f>'приложение 9'!R460+'приложение 9'!R461+'приложение 9'!R462+'приложение 9'!R463+'приложение 9'!R464+'приложение 9'!R465+'приложение 9'!R466+'приложение 9'!R467+'приложение 9'!R468+'приложение 9'!R469+'приложение 9'!R470</f>
        <v>2721.9</v>
      </c>
      <c r="O609" s="32">
        <f>'приложение 9'!S460+'приложение 9'!S461+'приложение 9'!S462+'приложение 9'!S463+'приложение 9'!S464+'приложение 9'!S465+'приложение 9'!S466+'приложение 9'!S467+'приложение 9'!S468+'приложение 9'!S469+'приложение 9'!S470</f>
        <v>5184</v>
      </c>
      <c r="P609" s="8"/>
    </row>
    <row r="610" spans="1:16">
      <c r="A610" s="106"/>
      <c r="B610" s="106"/>
      <c r="C610" s="11" t="s">
        <v>21</v>
      </c>
      <c r="D610" s="7"/>
      <c r="E610" s="7"/>
      <c r="F610" s="7"/>
      <c r="G610" s="7"/>
      <c r="H610" s="7"/>
      <c r="I610" s="7"/>
      <c r="J610" s="7"/>
      <c r="K610" s="7"/>
      <c r="L610" s="32"/>
      <c r="M610" s="32"/>
      <c r="N610" s="8"/>
      <c r="O610" s="8"/>
      <c r="P610" s="8"/>
    </row>
    <row r="611" spans="1:16">
      <c r="A611" s="106"/>
      <c r="B611" s="106"/>
      <c r="C611" s="11" t="s">
        <v>22</v>
      </c>
      <c r="D611" s="7"/>
      <c r="E611" s="7"/>
      <c r="F611" s="7"/>
      <c r="G611" s="7"/>
      <c r="H611" s="7"/>
      <c r="I611" s="7"/>
      <c r="J611" s="7"/>
      <c r="K611" s="7"/>
      <c r="L611" s="32"/>
      <c r="M611" s="32"/>
      <c r="N611" s="8"/>
      <c r="O611" s="8"/>
      <c r="P611" s="8"/>
    </row>
    <row r="612" spans="1:16">
      <c r="A612" s="106"/>
      <c r="B612" s="106"/>
      <c r="C612" s="11" t="s">
        <v>23</v>
      </c>
      <c r="D612" s="7"/>
      <c r="E612" s="7"/>
      <c r="F612" s="7"/>
      <c r="G612" s="7"/>
      <c r="H612" s="7"/>
      <c r="I612" s="7"/>
      <c r="J612" s="7"/>
      <c r="K612" s="7"/>
      <c r="L612" s="32"/>
      <c r="M612" s="32"/>
      <c r="N612" s="8"/>
      <c r="O612" s="8"/>
      <c r="P612" s="8"/>
    </row>
    <row r="613" spans="1:16" ht="13.5" customHeight="1">
      <c r="A613" s="107" t="s">
        <v>15</v>
      </c>
      <c r="B613" s="108" t="s">
        <v>563</v>
      </c>
      <c r="C613" s="11" t="s">
        <v>16</v>
      </c>
      <c r="D613" s="39">
        <f t="shared" ref="D613:E613" si="232">SUM(D615:D621)</f>
        <v>23497.583999999999</v>
      </c>
      <c r="E613" s="39">
        <f t="shared" si="232"/>
        <v>23275.483980000001</v>
      </c>
      <c r="F613" s="36">
        <f t="shared" ref="F613:K613" si="233">SUM(F615:F621)</f>
        <v>18.079999999999998</v>
      </c>
      <c r="G613" s="36">
        <f t="shared" si="233"/>
        <v>18.079999999999998</v>
      </c>
      <c r="H613" s="36">
        <f t="shared" si="233"/>
        <v>55.2</v>
      </c>
      <c r="I613" s="36">
        <f t="shared" si="233"/>
        <v>54.24</v>
      </c>
      <c r="J613" s="36">
        <f t="shared" si="233"/>
        <v>1079.5272</v>
      </c>
      <c r="K613" s="36">
        <f t="shared" si="233"/>
        <v>81.36</v>
      </c>
      <c r="L613" s="36">
        <f>SUM(L615:L621)</f>
        <v>18187.689429999999</v>
      </c>
      <c r="M613" s="36">
        <f>SUM(M615:M621)</f>
        <v>17582.973099999999</v>
      </c>
      <c r="N613" s="36">
        <f t="shared" ref="N613:O613" si="234">SUM(N615:N621)</f>
        <v>148445.24626000001</v>
      </c>
      <c r="O613" s="36">
        <f t="shared" si="234"/>
        <v>278.64</v>
      </c>
      <c r="P613" s="5"/>
    </row>
    <row r="614" spans="1:16">
      <c r="A614" s="107"/>
      <c r="B614" s="108"/>
      <c r="C614" s="11" t="s">
        <v>17</v>
      </c>
      <c r="D614" s="41"/>
      <c r="E614" s="41"/>
      <c r="F614" s="37"/>
      <c r="G614" s="37"/>
      <c r="H614" s="37"/>
      <c r="I614" s="37"/>
      <c r="J614" s="37"/>
      <c r="K614" s="37"/>
      <c r="L614" s="30"/>
      <c r="M614" s="30"/>
      <c r="N614" s="3"/>
      <c r="O614" s="3"/>
      <c r="P614" s="5"/>
    </row>
    <row r="615" spans="1:16">
      <c r="A615" s="107"/>
      <c r="B615" s="108"/>
      <c r="C615" s="11" t="s">
        <v>18</v>
      </c>
      <c r="D615" s="33">
        <f t="shared" ref="D615:K615" si="235">D624+D632+D640+D648+D657</f>
        <v>262.65600000000001</v>
      </c>
      <c r="E615" s="33">
        <f t="shared" si="235"/>
        <v>262.65600000000001</v>
      </c>
      <c r="F615" s="33">
        <f t="shared" si="235"/>
        <v>0</v>
      </c>
      <c r="G615" s="33">
        <f t="shared" si="235"/>
        <v>0</v>
      </c>
      <c r="H615" s="33">
        <f t="shared" si="235"/>
        <v>0</v>
      </c>
      <c r="I615" s="33">
        <f t="shared" si="235"/>
        <v>0</v>
      </c>
      <c r="J615" s="33">
        <f t="shared" si="235"/>
        <v>271.96559999999999</v>
      </c>
      <c r="K615" s="33">
        <f t="shared" si="235"/>
        <v>0</v>
      </c>
      <c r="L615" s="33">
        <f>L624+L632+L640+L648+L657</f>
        <v>271.96559999999999</v>
      </c>
      <c r="M615" s="33">
        <f>M624+M632+M640+M648+M657</f>
        <v>271.96559999999999</v>
      </c>
      <c r="N615" s="33">
        <f t="shared" ref="N615:O615" si="236">N624+N632+N640+N648+N657</f>
        <v>0</v>
      </c>
      <c r="O615" s="33">
        <f t="shared" si="236"/>
        <v>0</v>
      </c>
      <c r="P615" s="6"/>
    </row>
    <row r="616" spans="1:16" ht="26.4">
      <c r="A616" s="107"/>
      <c r="B616" s="108"/>
      <c r="C616" s="68" t="s">
        <v>722</v>
      </c>
      <c r="D616" s="32">
        <f t="shared" ref="D616:K616" si="237">D649</f>
        <v>0</v>
      </c>
      <c r="E616" s="32">
        <f t="shared" si="237"/>
        <v>0</v>
      </c>
      <c r="F616" s="32">
        <f t="shared" si="237"/>
        <v>0</v>
      </c>
      <c r="G616" s="32">
        <f t="shared" si="237"/>
        <v>0</v>
      </c>
      <c r="H616" s="32">
        <f t="shared" si="237"/>
        <v>0</v>
      </c>
      <c r="I616" s="32">
        <f t="shared" si="237"/>
        <v>0</v>
      </c>
      <c r="J616" s="32">
        <f t="shared" si="237"/>
        <v>0</v>
      </c>
      <c r="K616" s="32">
        <f t="shared" si="237"/>
        <v>0</v>
      </c>
      <c r="L616" s="32">
        <f>L649</f>
        <v>6090.2144799999996</v>
      </c>
      <c r="M616" s="32">
        <f>M649</f>
        <v>6090.2144799999996</v>
      </c>
      <c r="N616" s="32">
        <f t="shared" ref="N616:O616" si="238">N649</f>
        <v>55494.592320000003</v>
      </c>
      <c r="O616" s="32">
        <f t="shared" si="238"/>
        <v>0</v>
      </c>
      <c r="P616" s="8"/>
    </row>
    <row r="617" spans="1:16">
      <c r="A617" s="107"/>
      <c r="B617" s="108"/>
      <c r="C617" s="11" t="s">
        <v>19</v>
      </c>
      <c r="D617" s="32">
        <f t="shared" ref="D617:K617" si="239">D625+D633+D641+D650+D658</f>
        <v>22987.886999999999</v>
      </c>
      <c r="E617" s="32">
        <f t="shared" si="239"/>
        <v>22765.787</v>
      </c>
      <c r="F617" s="32">
        <f t="shared" si="239"/>
        <v>0</v>
      </c>
      <c r="G617" s="32">
        <f t="shared" si="239"/>
        <v>0</v>
      </c>
      <c r="H617" s="32">
        <f t="shared" si="239"/>
        <v>0</v>
      </c>
      <c r="I617" s="32">
        <f t="shared" si="239"/>
        <v>0</v>
      </c>
      <c r="J617" s="32">
        <f t="shared" si="239"/>
        <v>725.24159999999995</v>
      </c>
      <c r="K617" s="32">
        <f t="shared" si="239"/>
        <v>0</v>
      </c>
      <c r="L617" s="32">
        <f>L625+L633+L641+L650+L658</f>
        <v>11267.349549999999</v>
      </c>
      <c r="M617" s="32">
        <f>M625+M633+M641+M650+M658</f>
        <v>10662.633489999998</v>
      </c>
      <c r="N617" s="32">
        <f t="shared" ref="N617:O617" si="240">N625+N633+N641+N650+N658</f>
        <v>92672.01393999999</v>
      </c>
      <c r="O617" s="32">
        <f t="shared" si="240"/>
        <v>0</v>
      </c>
      <c r="P617" s="8"/>
    </row>
    <row r="618" spans="1:16">
      <c r="A618" s="107"/>
      <c r="B618" s="108"/>
      <c r="C618" s="11" t="s">
        <v>20</v>
      </c>
      <c r="D618" s="32">
        <f>D626+D634+D642+D651+D659</f>
        <v>247.041</v>
      </c>
      <c r="E618" s="32">
        <f t="shared" ref="E618:O618" si="241">E626+E634+E642+E651+E659</f>
        <v>247.04097999999999</v>
      </c>
      <c r="F618" s="32">
        <f t="shared" si="241"/>
        <v>18.079999999999998</v>
      </c>
      <c r="G618" s="32">
        <f t="shared" si="241"/>
        <v>18.079999999999998</v>
      </c>
      <c r="H618" s="32">
        <f t="shared" si="241"/>
        <v>55.2</v>
      </c>
      <c r="I618" s="32">
        <f t="shared" si="241"/>
        <v>54.24</v>
      </c>
      <c r="J618" s="32">
        <f t="shared" si="241"/>
        <v>82.32</v>
      </c>
      <c r="K618" s="32">
        <f t="shared" si="241"/>
        <v>81.36</v>
      </c>
      <c r="L618" s="32">
        <f t="shared" si="241"/>
        <v>558.1597999999999</v>
      </c>
      <c r="M618" s="32">
        <f t="shared" si="241"/>
        <v>558.1595299999999</v>
      </c>
      <c r="N618" s="32">
        <f t="shared" si="241"/>
        <v>278.64</v>
      </c>
      <c r="O618" s="32">
        <f t="shared" si="241"/>
        <v>278.64</v>
      </c>
      <c r="P618" s="8"/>
    </row>
    <row r="619" spans="1:16">
      <c r="A619" s="107"/>
      <c r="B619" s="108"/>
      <c r="C619" s="11" t="s">
        <v>21</v>
      </c>
      <c r="D619" s="32"/>
      <c r="E619" s="32"/>
      <c r="F619" s="32"/>
      <c r="G619" s="32"/>
      <c r="H619" s="32"/>
      <c r="I619" s="32"/>
      <c r="J619" s="32"/>
      <c r="K619" s="32"/>
      <c r="L619" s="32"/>
      <c r="M619" s="32"/>
      <c r="N619" s="8"/>
      <c r="O619" s="8"/>
      <c r="P619" s="8"/>
    </row>
    <row r="620" spans="1:16">
      <c r="A620" s="107"/>
      <c r="B620" s="108"/>
      <c r="C620" s="11" t="s">
        <v>22</v>
      </c>
      <c r="D620" s="32"/>
      <c r="E620" s="32"/>
      <c r="F620" s="32"/>
      <c r="G620" s="32"/>
      <c r="H620" s="32"/>
      <c r="I620" s="32"/>
      <c r="J620" s="32"/>
      <c r="K620" s="32"/>
      <c r="L620" s="32"/>
      <c r="M620" s="32"/>
      <c r="N620" s="8"/>
      <c r="O620" s="8"/>
      <c r="P620" s="8"/>
    </row>
    <row r="621" spans="1:16">
      <c r="A621" s="107"/>
      <c r="B621" s="108"/>
      <c r="C621" s="11" t="s">
        <v>23</v>
      </c>
      <c r="D621" s="32"/>
      <c r="E621" s="32"/>
      <c r="F621" s="32"/>
      <c r="G621" s="32"/>
      <c r="H621" s="32"/>
      <c r="I621" s="32"/>
      <c r="J621" s="32"/>
      <c r="K621" s="32"/>
      <c r="L621" s="32"/>
      <c r="M621" s="32"/>
      <c r="N621" s="8"/>
      <c r="O621" s="8"/>
      <c r="P621" s="8"/>
    </row>
    <row r="622" spans="1:16" ht="18" customHeight="1">
      <c r="A622" s="109" t="s">
        <v>24</v>
      </c>
      <c r="B622" s="112" t="s">
        <v>523</v>
      </c>
      <c r="C622" s="11" t="s">
        <v>16</v>
      </c>
      <c r="D622" s="32">
        <f t="shared" ref="D622:E622" si="242">SUM(D624:D629)</f>
        <v>21494.384999999998</v>
      </c>
      <c r="E622" s="32">
        <f t="shared" si="242"/>
        <v>21494.384999999998</v>
      </c>
      <c r="F622" s="32">
        <f t="shared" ref="F622:K622" si="243">SUM(F624:F629)</f>
        <v>0</v>
      </c>
      <c r="G622" s="32">
        <f t="shared" si="243"/>
        <v>0</v>
      </c>
      <c r="H622" s="32">
        <f t="shared" si="243"/>
        <v>0</v>
      </c>
      <c r="I622" s="32">
        <f t="shared" si="243"/>
        <v>0</v>
      </c>
      <c r="J622" s="32">
        <f t="shared" si="243"/>
        <v>0</v>
      </c>
      <c r="K622" s="32">
        <f t="shared" si="243"/>
        <v>0</v>
      </c>
      <c r="L622" s="32">
        <f>SUM(L624:L629)</f>
        <v>0</v>
      </c>
      <c r="M622" s="32">
        <f>SUM(M624:M629)</f>
        <v>0</v>
      </c>
      <c r="N622" s="32">
        <f t="shared" ref="N622:O622" si="244">SUM(N624:N629)</f>
        <v>224.9</v>
      </c>
      <c r="O622" s="32">
        <f t="shared" si="244"/>
        <v>0</v>
      </c>
      <c r="P622" s="8"/>
    </row>
    <row r="623" spans="1:16" ht="18" customHeight="1">
      <c r="A623" s="110"/>
      <c r="B623" s="113"/>
      <c r="C623" s="11" t="s">
        <v>17</v>
      </c>
      <c r="D623" s="32"/>
      <c r="E623" s="32"/>
      <c r="F623" s="32"/>
      <c r="G623" s="32"/>
      <c r="H623" s="32"/>
      <c r="I623" s="32"/>
      <c r="J623" s="32"/>
      <c r="K623" s="32"/>
      <c r="L623" s="32"/>
      <c r="M623" s="32"/>
      <c r="N623" s="32"/>
      <c r="O623" s="32"/>
      <c r="P623" s="8"/>
    </row>
    <row r="624" spans="1:16" ht="18" customHeight="1">
      <c r="A624" s="110"/>
      <c r="B624" s="113"/>
      <c r="C624" s="11" t="s">
        <v>18</v>
      </c>
      <c r="D624" s="32"/>
      <c r="E624" s="32"/>
      <c r="F624" s="32"/>
      <c r="G624" s="32"/>
      <c r="H624" s="32"/>
      <c r="I624" s="32"/>
      <c r="J624" s="32"/>
      <c r="K624" s="32"/>
      <c r="L624" s="32"/>
      <c r="M624" s="32"/>
      <c r="N624" s="32"/>
      <c r="O624" s="32"/>
      <c r="P624" s="8"/>
    </row>
    <row r="625" spans="1:16" ht="18" customHeight="1">
      <c r="A625" s="110"/>
      <c r="B625" s="113"/>
      <c r="C625" s="11" t="s">
        <v>19</v>
      </c>
      <c r="D625" s="32">
        <f>'приложение 9'!H489</f>
        <v>21494.384999999998</v>
      </c>
      <c r="E625" s="32">
        <f>'приложение 9'!I489</f>
        <v>21494.384999999998</v>
      </c>
      <c r="F625" s="32">
        <f>'приложение 9'!J489</f>
        <v>0</v>
      </c>
      <c r="G625" s="32">
        <f>'приложение 9'!K489</f>
        <v>0</v>
      </c>
      <c r="H625" s="32">
        <f>'приложение 9'!L489</f>
        <v>0</v>
      </c>
      <c r="I625" s="32">
        <f>'приложение 9'!M489</f>
        <v>0</v>
      </c>
      <c r="J625" s="32">
        <f>'приложение 9'!N489</f>
        <v>0</v>
      </c>
      <c r="K625" s="32">
        <f>'приложение 9'!O489</f>
        <v>0</v>
      </c>
      <c r="L625" s="32">
        <f>'приложение 9'!P489</f>
        <v>0</v>
      </c>
      <c r="M625" s="32">
        <f>'приложение 9'!Q489</f>
        <v>0</v>
      </c>
      <c r="N625" s="32">
        <f>'приложение 9'!R489</f>
        <v>224.9</v>
      </c>
      <c r="O625" s="32">
        <f>'приложение 9'!S489</f>
        <v>0</v>
      </c>
      <c r="P625" s="8"/>
    </row>
    <row r="626" spans="1:16" ht="18" customHeight="1">
      <c r="A626" s="110"/>
      <c r="B626" s="113"/>
      <c r="C626" s="11" t="s">
        <v>20</v>
      </c>
      <c r="D626" s="32"/>
      <c r="E626" s="32"/>
      <c r="F626" s="32"/>
      <c r="G626" s="32"/>
      <c r="H626" s="32"/>
      <c r="I626" s="32"/>
      <c r="J626" s="32"/>
      <c r="K626" s="32"/>
      <c r="L626" s="32"/>
      <c r="M626" s="32"/>
      <c r="N626" s="32"/>
      <c r="O626" s="32"/>
      <c r="P626" s="8"/>
    </row>
    <row r="627" spans="1:16" ht="18" customHeight="1">
      <c r="A627" s="110"/>
      <c r="B627" s="113"/>
      <c r="C627" s="11" t="s">
        <v>21</v>
      </c>
      <c r="D627" s="32"/>
      <c r="E627" s="32"/>
      <c r="F627" s="32"/>
      <c r="G627" s="32"/>
      <c r="H627" s="32"/>
      <c r="I627" s="32"/>
      <c r="J627" s="32"/>
      <c r="K627" s="32"/>
      <c r="L627" s="32"/>
      <c r="M627" s="32"/>
      <c r="N627" s="32"/>
      <c r="O627" s="32"/>
      <c r="P627" s="8"/>
    </row>
    <row r="628" spans="1:16" ht="18" customHeight="1">
      <c r="A628" s="110"/>
      <c r="B628" s="113"/>
      <c r="C628" s="11" t="s">
        <v>22</v>
      </c>
      <c r="D628" s="32"/>
      <c r="E628" s="32"/>
      <c r="F628" s="32"/>
      <c r="G628" s="32"/>
      <c r="H628" s="32"/>
      <c r="I628" s="32"/>
      <c r="J628" s="32"/>
      <c r="K628" s="32"/>
      <c r="L628" s="32"/>
      <c r="M628" s="32"/>
      <c r="N628" s="32"/>
      <c r="O628" s="32"/>
      <c r="P628" s="8"/>
    </row>
    <row r="629" spans="1:16" ht="18" customHeight="1">
      <c r="A629" s="111"/>
      <c r="B629" s="114"/>
      <c r="C629" s="11" t="s">
        <v>23</v>
      </c>
      <c r="D629" s="7"/>
      <c r="E629" s="7"/>
      <c r="F629" s="7"/>
      <c r="G629" s="7"/>
      <c r="H629" s="7"/>
      <c r="I629" s="7"/>
      <c r="J629" s="7"/>
      <c r="K629" s="7"/>
      <c r="L629" s="32"/>
      <c r="M629" s="32"/>
      <c r="N629" s="32"/>
      <c r="O629" s="32"/>
      <c r="P629" s="8"/>
    </row>
    <row r="630" spans="1:16" ht="14.25" customHeight="1">
      <c r="A630" s="109" t="s">
        <v>31</v>
      </c>
      <c r="B630" s="112" t="s">
        <v>526</v>
      </c>
      <c r="C630" s="11" t="s">
        <v>16</v>
      </c>
      <c r="D630" s="32">
        <f t="shared" ref="D630:E630" si="245">SUM(D632:D637)</f>
        <v>18.079999999999998</v>
      </c>
      <c r="E630" s="32">
        <f t="shared" si="245"/>
        <v>18.079999999999998</v>
      </c>
      <c r="F630" s="32">
        <f t="shared" ref="F630:K630" si="246">SUM(F632:F637)</f>
        <v>18.079999999999998</v>
      </c>
      <c r="G630" s="32">
        <f t="shared" si="246"/>
        <v>18.079999999999998</v>
      </c>
      <c r="H630" s="32">
        <f t="shared" si="246"/>
        <v>55.2</v>
      </c>
      <c r="I630" s="32">
        <f t="shared" si="246"/>
        <v>54.24</v>
      </c>
      <c r="J630" s="32">
        <f t="shared" si="246"/>
        <v>82.32</v>
      </c>
      <c r="K630" s="32">
        <f t="shared" si="246"/>
        <v>81.36</v>
      </c>
      <c r="L630" s="32">
        <f>SUM(L632:L637)</f>
        <v>138.47999999999999</v>
      </c>
      <c r="M630" s="32">
        <f>SUM(M632:M637)</f>
        <v>138.47999999999999</v>
      </c>
      <c r="N630" s="32">
        <f t="shared" ref="N630:O630" si="247">SUM(N632:N637)</f>
        <v>0</v>
      </c>
      <c r="O630" s="32">
        <f t="shared" si="247"/>
        <v>0</v>
      </c>
      <c r="P630" s="8"/>
    </row>
    <row r="631" spans="1:16">
      <c r="A631" s="110"/>
      <c r="B631" s="113"/>
      <c r="C631" s="11" t="s">
        <v>17</v>
      </c>
      <c r="D631" s="32"/>
      <c r="E631" s="32"/>
      <c r="F631" s="32"/>
      <c r="G631" s="32"/>
      <c r="H631" s="32"/>
      <c r="I631" s="32"/>
      <c r="J631" s="32"/>
      <c r="K631" s="32"/>
      <c r="L631" s="32"/>
      <c r="M631" s="32"/>
      <c r="N631" s="32"/>
      <c r="O631" s="32"/>
      <c r="P631" s="8"/>
    </row>
    <row r="632" spans="1:16">
      <c r="A632" s="110"/>
      <c r="B632" s="113"/>
      <c r="C632" s="11" t="s">
        <v>18</v>
      </c>
      <c r="D632" s="32"/>
      <c r="E632" s="32"/>
      <c r="F632" s="32"/>
      <c r="G632" s="32"/>
      <c r="H632" s="32"/>
      <c r="I632" s="32"/>
      <c r="J632" s="32"/>
      <c r="K632" s="32"/>
      <c r="L632" s="32"/>
      <c r="M632" s="32"/>
      <c r="N632" s="32"/>
      <c r="O632" s="32"/>
      <c r="P632" s="8"/>
    </row>
    <row r="633" spans="1:16">
      <c r="A633" s="110"/>
      <c r="B633" s="113"/>
      <c r="C633" s="11" t="s">
        <v>19</v>
      </c>
      <c r="D633" s="32"/>
      <c r="E633" s="32"/>
      <c r="F633" s="32"/>
      <c r="G633" s="32"/>
      <c r="H633" s="32"/>
      <c r="I633" s="32"/>
      <c r="J633" s="32"/>
      <c r="K633" s="32"/>
      <c r="L633" s="32"/>
      <c r="M633" s="32"/>
      <c r="N633" s="32"/>
      <c r="O633" s="32"/>
      <c r="P633" s="8"/>
    </row>
    <row r="634" spans="1:16">
      <c r="A634" s="110"/>
      <c r="B634" s="113"/>
      <c r="C634" s="11" t="s">
        <v>20</v>
      </c>
      <c r="D634" s="32">
        <f>'приложение 9'!H492</f>
        <v>18.079999999999998</v>
      </c>
      <c r="E634" s="32">
        <f>'приложение 9'!I492</f>
        <v>18.079999999999998</v>
      </c>
      <c r="F634" s="32">
        <f>'приложение 9'!J492</f>
        <v>18.079999999999998</v>
      </c>
      <c r="G634" s="32">
        <f>'приложение 9'!K492</f>
        <v>18.079999999999998</v>
      </c>
      <c r="H634" s="32">
        <f>'приложение 9'!L492</f>
        <v>55.2</v>
      </c>
      <c r="I634" s="32">
        <f>'приложение 9'!M492</f>
        <v>54.24</v>
      </c>
      <c r="J634" s="32">
        <f>'приложение 9'!N492</f>
        <v>82.32</v>
      </c>
      <c r="K634" s="32">
        <f>'приложение 9'!O492</f>
        <v>81.36</v>
      </c>
      <c r="L634" s="32">
        <f>'приложение 9'!P492</f>
        <v>138.47999999999999</v>
      </c>
      <c r="M634" s="32">
        <f>'приложение 9'!Q492</f>
        <v>138.47999999999999</v>
      </c>
      <c r="N634" s="32">
        <f>'приложение 9'!R492</f>
        <v>0</v>
      </c>
      <c r="O634" s="32">
        <f>'приложение 9'!S492</f>
        <v>0</v>
      </c>
      <c r="P634" s="8"/>
    </row>
    <row r="635" spans="1:16">
      <c r="A635" s="110"/>
      <c r="B635" s="113"/>
      <c r="C635" s="11" t="s">
        <v>21</v>
      </c>
      <c r="D635" s="32"/>
      <c r="E635" s="32"/>
      <c r="F635" s="32"/>
      <c r="G635" s="32"/>
      <c r="H635" s="32"/>
      <c r="I635" s="32"/>
      <c r="J635" s="32"/>
      <c r="K635" s="32"/>
      <c r="L635" s="32"/>
      <c r="M635" s="32"/>
      <c r="N635" s="8"/>
      <c r="O635" s="8"/>
      <c r="P635" s="8"/>
    </row>
    <row r="636" spans="1:16">
      <c r="A636" s="110"/>
      <c r="B636" s="113"/>
      <c r="C636" s="11" t="s">
        <v>22</v>
      </c>
      <c r="D636" s="32"/>
      <c r="E636" s="32"/>
      <c r="F636" s="32"/>
      <c r="G636" s="32"/>
      <c r="H636" s="32"/>
      <c r="I636" s="32"/>
      <c r="J636" s="32"/>
      <c r="K636" s="32"/>
      <c r="L636" s="32"/>
      <c r="M636" s="32"/>
      <c r="N636" s="8"/>
      <c r="O636" s="8"/>
      <c r="P636" s="8"/>
    </row>
    <row r="637" spans="1:16">
      <c r="A637" s="111"/>
      <c r="B637" s="114"/>
      <c r="C637" s="11" t="s">
        <v>23</v>
      </c>
      <c r="D637" s="32"/>
      <c r="E637" s="32"/>
      <c r="F637" s="32"/>
      <c r="G637" s="32"/>
      <c r="H637" s="32"/>
      <c r="I637" s="32"/>
      <c r="J637" s="32"/>
      <c r="K637" s="32"/>
      <c r="L637" s="32"/>
      <c r="M637" s="32"/>
      <c r="N637" s="8"/>
      <c r="O637" s="8"/>
      <c r="P637" s="8"/>
    </row>
    <row r="638" spans="1:16" ht="13.5" customHeight="1">
      <c r="A638" s="106" t="s">
        <v>25</v>
      </c>
      <c r="B638" s="106" t="s">
        <v>564</v>
      </c>
      <c r="C638" s="11" t="s">
        <v>16</v>
      </c>
      <c r="D638" s="32">
        <f t="shared" ref="D638:E638" si="248">SUM(D640:D645)</f>
        <v>1167.3600000000001</v>
      </c>
      <c r="E638" s="32">
        <f t="shared" si="248"/>
        <v>1167.3600000000001</v>
      </c>
      <c r="F638" s="32">
        <f t="shared" ref="F638:K638" si="249">SUM(F640:F645)</f>
        <v>0</v>
      </c>
      <c r="G638" s="32">
        <f t="shared" si="249"/>
        <v>0</v>
      </c>
      <c r="H638" s="32">
        <f t="shared" si="249"/>
        <v>0</v>
      </c>
      <c r="I638" s="32">
        <f t="shared" si="249"/>
        <v>0</v>
      </c>
      <c r="J638" s="32">
        <f t="shared" si="249"/>
        <v>997.20719999999994</v>
      </c>
      <c r="K638" s="32">
        <f t="shared" si="249"/>
        <v>0</v>
      </c>
      <c r="L638" s="32">
        <f>SUM(L640:L645)</f>
        <v>1208.7359999999999</v>
      </c>
      <c r="M638" s="32">
        <f>SUM(M640:M645)</f>
        <v>1208.7359999999999</v>
      </c>
      <c r="N638" s="32">
        <f t="shared" ref="N638:O638" si="250">SUM(N640:N645)</f>
        <v>278.64</v>
      </c>
      <c r="O638" s="32">
        <f t="shared" si="250"/>
        <v>278.64</v>
      </c>
      <c r="P638" s="8"/>
    </row>
    <row r="639" spans="1:16">
      <c r="A639" s="106"/>
      <c r="B639" s="106"/>
      <c r="C639" s="11" t="s">
        <v>17</v>
      </c>
      <c r="D639" s="32"/>
      <c r="E639" s="32"/>
      <c r="F639" s="32"/>
      <c r="G639" s="32"/>
      <c r="H639" s="32"/>
      <c r="I639" s="32"/>
      <c r="J639" s="32"/>
      <c r="K639" s="32"/>
      <c r="L639" s="32"/>
      <c r="M639" s="32"/>
      <c r="N639" s="8"/>
      <c r="O639" s="8"/>
      <c r="P639" s="8"/>
    </row>
    <row r="640" spans="1:16">
      <c r="A640" s="106"/>
      <c r="B640" s="106"/>
      <c r="C640" s="11" t="s">
        <v>26</v>
      </c>
      <c r="D640" s="32">
        <f>'приложение 9'!H475</f>
        <v>262.65600000000001</v>
      </c>
      <c r="E640" s="32">
        <f>'приложение 9'!I475</f>
        <v>262.65600000000001</v>
      </c>
      <c r="F640" s="32">
        <f>'приложение 9'!J475</f>
        <v>0</v>
      </c>
      <c r="G640" s="32">
        <f>'приложение 9'!K475</f>
        <v>0</v>
      </c>
      <c r="H640" s="32">
        <f>'приложение 9'!L475</f>
        <v>0</v>
      </c>
      <c r="I640" s="32">
        <f>'приложение 9'!M475</f>
        <v>0</v>
      </c>
      <c r="J640" s="32">
        <f>'приложение 9'!N475</f>
        <v>271.96559999999999</v>
      </c>
      <c r="K640" s="32">
        <f>'приложение 9'!O475</f>
        <v>0</v>
      </c>
      <c r="L640" s="32">
        <f>'приложение 9'!P475</f>
        <v>271.96559999999999</v>
      </c>
      <c r="M640" s="32">
        <f>'приложение 9'!Q475</f>
        <v>271.96559999999999</v>
      </c>
      <c r="N640" s="32">
        <f>'приложение 9'!R475</f>
        <v>0</v>
      </c>
      <c r="O640" s="32">
        <f>'приложение 9'!S475</f>
        <v>0</v>
      </c>
      <c r="P640" s="8"/>
    </row>
    <row r="641" spans="1:16">
      <c r="A641" s="106"/>
      <c r="B641" s="106"/>
      <c r="C641" s="11" t="s">
        <v>19</v>
      </c>
      <c r="D641" s="32">
        <f>'приложение 9'!H476</f>
        <v>700.41600000000005</v>
      </c>
      <c r="E641" s="32">
        <f>'приложение 9'!I476</f>
        <v>700.41600000000005</v>
      </c>
      <c r="F641" s="32">
        <f>'приложение 9'!J476</f>
        <v>0</v>
      </c>
      <c r="G641" s="32">
        <f>'приложение 9'!K476</f>
        <v>0</v>
      </c>
      <c r="H641" s="32">
        <f>'приложение 9'!L476</f>
        <v>0</v>
      </c>
      <c r="I641" s="32">
        <f>'приложение 9'!M476</f>
        <v>0</v>
      </c>
      <c r="J641" s="32">
        <f>'приложение 9'!N476</f>
        <v>725.24159999999995</v>
      </c>
      <c r="K641" s="32">
        <f>'приложение 9'!O476</f>
        <v>0</v>
      </c>
      <c r="L641" s="32">
        <f>'приложение 9'!P476</f>
        <v>725.24159999999995</v>
      </c>
      <c r="M641" s="32">
        <f>'приложение 9'!Q476</f>
        <v>725.24159999999995</v>
      </c>
      <c r="N641" s="32">
        <f>'приложение 9'!R476</f>
        <v>0</v>
      </c>
      <c r="O641" s="32">
        <f>'приложение 9'!S476</f>
        <v>0</v>
      </c>
      <c r="P641" s="8"/>
    </row>
    <row r="642" spans="1:16">
      <c r="A642" s="106"/>
      <c r="B642" s="106"/>
      <c r="C642" s="11" t="s">
        <v>20</v>
      </c>
      <c r="D642" s="32">
        <f>'приложение 9'!H477</f>
        <v>204.28800000000001</v>
      </c>
      <c r="E642" s="32">
        <f>'приложение 9'!I477</f>
        <v>204.28800000000001</v>
      </c>
      <c r="F642" s="32">
        <f>'приложение 9'!J477</f>
        <v>0</v>
      </c>
      <c r="G642" s="32">
        <f>'приложение 9'!K477</f>
        <v>0</v>
      </c>
      <c r="H642" s="32">
        <f>'приложение 9'!L477</f>
        <v>0</v>
      </c>
      <c r="I642" s="32">
        <f>'приложение 9'!M477</f>
        <v>0</v>
      </c>
      <c r="J642" s="32">
        <f>'приложение 9'!N477</f>
        <v>0</v>
      </c>
      <c r="K642" s="32">
        <f>'приложение 9'!O477</f>
        <v>0</v>
      </c>
      <c r="L642" s="32">
        <f>'приложение 9'!P477</f>
        <v>211.52879999999999</v>
      </c>
      <c r="M642" s="32">
        <f>'приложение 9'!Q477</f>
        <v>211.52879999999999</v>
      </c>
      <c r="N642" s="32">
        <f>'приложение 9'!R477</f>
        <v>278.64</v>
      </c>
      <c r="O642" s="32">
        <f>'приложение 9'!S477</f>
        <v>278.64</v>
      </c>
      <c r="P642" s="8"/>
    </row>
    <row r="643" spans="1:16">
      <c r="A643" s="106"/>
      <c r="B643" s="106"/>
      <c r="C643" s="11" t="s">
        <v>21</v>
      </c>
      <c r="D643" s="7"/>
      <c r="E643" s="7"/>
      <c r="F643" s="7"/>
      <c r="G643" s="7"/>
      <c r="H643" s="7"/>
      <c r="I643" s="7"/>
      <c r="J643" s="7"/>
      <c r="K643" s="7"/>
      <c r="L643" s="32"/>
      <c r="M643" s="32"/>
      <c r="N643" s="8"/>
      <c r="O643" s="8"/>
      <c r="P643" s="8"/>
    </row>
    <row r="644" spans="1:16">
      <c r="A644" s="106"/>
      <c r="B644" s="106"/>
      <c r="C644" s="11" t="s">
        <v>22</v>
      </c>
      <c r="D644" s="7"/>
      <c r="E644" s="7"/>
      <c r="F644" s="7"/>
      <c r="G644" s="7"/>
      <c r="H644" s="7"/>
      <c r="I644" s="7"/>
      <c r="J644" s="7"/>
      <c r="K644" s="7"/>
      <c r="L644" s="32"/>
      <c r="M644" s="32"/>
      <c r="N644" s="8"/>
      <c r="O644" s="8"/>
      <c r="P644" s="8"/>
    </row>
    <row r="645" spans="1:16">
      <c r="A645" s="106"/>
      <c r="B645" s="106"/>
      <c r="C645" s="11" t="s">
        <v>23</v>
      </c>
      <c r="D645" s="7"/>
      <c r="E645" s="7"/>
      <c r="F645" s="7"/>
      <c r="G645" s="7"/>
      <c r="H645" s="7"/>
      <c r="I645" s="7"/>
      <c r="J645" s="7"/>
      <c r="K645" s="7"/>
      <c r="L645" s="32"/>
      <c r="M645" s="32"/>
      <c r="N645" s="8"/>
      <c r="O645" s="8"/>
      <c r="P645" s="8"/>
    </row>
    <row r="646" spans="1:16" ht="13.5" customHeight="1">
      <c r="A646" s="106" t="s">
        <v>530</v>
      </c>
      <c r="B646" s="106" t="s">
        <v>721</v>
      </c>
      <c r="C646" s="68" t="s">
        <v>16</v>
      </c>
      <c r="D646" s="32">
        <f t="shared" ref="D646:K646" si="251">SUM(D648:D654)</f>
        <v>0</v>
      </c>
      <c r="E646" s="32">
        <f t="shared" si="251"/>
        <v>0</v>
      </c>
      <c r="F646" s="32">
        <f t="shared" si="251"/>
        <v>0</v>
      </c>
      <c r="G646" s="32">
        <f t="shared" si="251"/>
        <v>0</v>
      </c>
      <c r="H646" s="32">
        <f t="shared" si="251"/>
        <v>0</v>
      </c>
      <c r="I646" s="32">
        <f t="shared" si="251"/>
        <v>0</v>
      </c>
      <c r="J646" s="32">
        <f t="shared" si="251"/>
        <v>0</v>
      </c>
      <c r="K646" s="32">
        <f t="shared" si="251"/>
        <v>0</v>
      </c>
      <c r="L646" s="32">
        <f>SUM(L648:L654)</f>
        <v>16840.473430000002</v>
      </c>
      <c r="M646" s="32">
        <f>SUM(M648:M654)</f>
        <v>16235.757099999997</v>
      </c>
      <c r="N646" s="32">
        <f t="shared" ref="N646:O646" si="252">SUM(N648:N654)</f>
        <v>147941.70626000001</v>
      </c>
      <c r="O646" s="32">
        <f t="shared" si="252"/>
        <v>0</v>
      </c>
      <c r="P646" s="8"/>
    </row>
    <row r="647" spans="1:16">
      <c r="A647" s="106"/>
      <c r="B647" s="106"/>
      <c r="C647" s="68" t="s">
        <v>17</v>
      </c>
      <c r="D647" s="32"/>
      <c r="E647" s="32"/>
      <c r="F647" s="32"/>
      <c r="G647" s="32"/>
      <c r="H647" s="32"/>
      <c r="I647" s="32"/>
      <c r="J647" s="32"/>
      <c r="K647" s="32"/>
      <c r="L647" s="32"/>
      <c r="M647" s="32"/>
      <c r="N647" s="32"/>
      <c r="O647" s="32"/>
      <c r="P647" s="8"/>
    </row>
    <row r="648" spans="1:16">
      <c r="A648" s="106"/>
      <c r="B648" s="106"/>
      <c r="C648" s="68" t="s">
        <v>27</v>
      </c>
      <c r="D648" s="32"/>
      <c r="E648" s="32"/>
      <c r="F648" s="32"/>
      <c r="G648" s="32"/>
      <c r="H648" s="32"/>
      <c r="I648" s="32"/>
      <c r="J648" s="32"/>
      <c r="K648" s="32"/>
      <c r="L648" s="32"/>
      <c r="M648" s="32"/>
      <c r="N648" s="32"/>
      <c r="O648" s="32"/>
      <c r="P648" s="8"/>
    </row>
    <row r="649" spans="1:16" ht="26.4">
      <c r="A649" s="106"/>
      <c r="B649" s="106"/>
      <c r="C649" s="68" t="s">
        <v>722</v>
      </c>
      <c r="D649" s="32">
        <f>'приложение 9'!H481+'приложение 9'!H482</f>
        <v>0</v>
      </c>
      <c r="E649" s="32">
        <f>'приложение 9'!I481+'приложение 9'!I482</f>
        <v>0</v>
      </c>
      <c r="F649" s="32">
        <f>'приложение 9'!J481+'приложение 9'!J482</f>
        <v>0</v>
      </c>
      <c r="G649" s="32">
        <f>'приложение 9'!K481+'приложение 9'!K482</f>
        <v>0</v>
      </c>
      <c r="H649" s="32">
        <f>'приложение 9'!L481+'приложение 9'!L482</f>
        <v>0</v>
      </c>
      <c r="I649" s="32">
        <f>'приложение 9'!M481+'приложение 9'!M482</f>
        <v>0</v>
      </c>
      <c r="J649" s="32">
        <f>'приложение 9'!N481+'приложение 9'!N482</f>
        <v>0</v>
      </c>
      <c r="K649" s="32">
        <f>'приложение 9'!O481+'приложение 9'!O482</f>
        <v>0</v>
      </c>
      <c r="L649" s="32">
        <f>'приложение 9'!P481+'приложение 9'!P482</f>
        <v>6090.2144799999996</v>
      </c>
      <c r="M649" s="32">
        <f>'приложение 9'!Q481+'приложение 9'!Q482</f>
        <v>6090.2144799999996</v>
      </c>
      <c r="N649" s="32">
        <f>'приложение 9'!R481+'приложение 9'!R482</f>
        <v>55494.592320000003</v>
      </c>
      <c r="O649" s="32">
        <f>'приложение 9'!S481+'приложение 9'!S482</f>
        <v>0</v>
      </c>
      <c r="P649" s="8"/>
    </row>
    <row r="650" spans="1:16">
      <c r="A650" s="106"/>
      <c r="B650" s="106"/>
      <c r="C650" s="68" t="s">
        <v>19</v>
      </c>
      <c r="D650" s="32">
        <f>'приложение 9'!H483+'приложение 9'!H484</f>
        <v>0</v>
      </c>
      <c r="E650" s="32">
        <f>'приложение 9'!I483+'приложение 9'!I484</f>
        <v>0</v>
      </c>
      <c r="F650" s="32">
        <f>'приложение 9'!J483+'приложение 9'!J484</f>
        <v>0</v>
      </c>
      <c r="G650" s="32">
        <f>'приложение 9'!K483+'приложение 9'!K484</f>
        <v>0</v>
      </c>
      <c r="H650" s="32">
        <f>'приложение 9'!L483+'приложение 9'!L484</f>
        <v>0</v>
      </c>
      <c r="I650" s="32">
        <f>'приложение 9'!M483+'приложение 9'!M484</f>
        <v>0</v>
      </c>
      <c r="J650" s="32">
        <f>'приложение 9'!N483+'приложение 9'!N484</f>
        <v>0</v>
      </c>
      <c r="K650" s="32">
        <f>'приложение 9'!O483+'приложение 9'!O484</f>
        <v>0</v>
      </c>
      <c r="L650" s="32">
        <f>'приложение 9'!P483+'приложение 9'!P484</f>
        <v>10542.10795</v>
      </c>
      <c r="M650" s="32">
        <f>'приложение 9'!Q483+'приложение 9'!Q484</f>
        <v>9937.391889999999</v>
      </c>
      <c r="N650" s="32">
        <f>'приложение 9'!R483+'приложение 9'!R484</f>
        <v>92447.113939999996</v>
      </c>
      <c r="O650" s="32">
        <f>'приложение 9'!S483+'приложение 9'!S484</f>
        <v>0</v>
      </c>
      <c r="P650" s="8"/>
    </row>
    <row r="651" spans="1:16">
      <c r="A651" s="106"/>
      <c r="B651" s="106"/>
      <c r="C651" s="68" t="s">
        <v>20</v>
      </c>
      <c r="D651" s="32">
        <f>'приложение 9'!H480</f>
        <v>0</v>
      </c>
      <c r="E651" s="32">
        <f>'приложение 9'!I480</f>
        <v>0</v>
      </c>
      <c r="F651" s="32">
        <f>'приложение 9'!J480</f>
        <v>0</v>
      </c>
      <c r="G651" s="32">
        <f>'приложение 9'!K480</f>
        <v>0</v>
      </c>
      <c r="H651" s="32">
        <f>'приложение 9'!L480</f>
        <v>0</v>
      </c>
      <c r="I651" s="32">
        <f>'приложение 9'!M480</f>
        <v>0</v>
      </c>
      <c r="J651" s="32">
        <f>'приложение 9'!N480</f>
        <v>0</v>
      </c>
      <c r="K651" s="32">
        <f>'приложение 9'!O480</f>
        <v>0</v>
      </c>
      <c r="L651" s="32">
        <f>'приложение 9'!P480</f>
        <v>208.15100000000001</v>
      </c>
      <c r="M651" s="32">
        <f>'приложение 9'!Q480</f>
        <v>208.15073000000001</v>
      </c>
      <c r="N651" s="32">
        <f>'приложение 9'!R480</f>
        <v>0</v>
      </c>
      <c r="O651" s="32">
        <f>'приложение 9'!S480</f>
        <v>0</v>
      </c>
      <c r="P651" s="8"/>
    </row>
    <row r="652" spans="1:16">
      <c r="A652" s="106"/>
      <c r="B652" s="106"/>
      <c r="C652" s="68" t="s">
        <v>21</v>
      </c>
      <c r="D652" s="7"/>
      <c r="E652" s="7"/>
      <c r="F652" s="7"/>
      <c r="G652" s="7"/>
      <c r="H652" s="7"/>
      <c r="I652" s="7"/>
      <c r="J652" s="7"/>
      <c r="K652" s="7"/>
      <c r="L652" s="32"/>
      <c r="M652" s="32"/>
      <c r="N652" s="8"/>
      <c r="O652" s="8"/>
      <c r="P652" s="8"/>
    </row>
    <row r="653" spans="1:16">
      <c r="A653" s="106"/>
      <c r="B653" s="106"/>
      <c r="C653" s="68" t="s">
        <v>22</v>
      </c>
      <c r="D653" s="7"/>
      <c r="E653" s="7"/>
      <c r="F653" s="7"/>
      <c r="G653" s="7"/>
      <c r="H653" s="7"/>
      <c r="I653" s="7"/>
      <c r="J653" s="7"/>
      <c r="K653" s="7"/>
      <c r="L653" s="32"/>
      <c r="M653" s="32"/>
      <c r="N653" s="8"/>
      <c r="O653" s="8"/>
      <c r="P653" s="8"/>
    </row>
    <row r="654" spans="1:16">
      <c r="A654" s="106"/>
      <c r="B654" s="106"/>
      <c r="C654" s="68" t="s">
        <v>23</v>
      </c>
      <c r="D654" s="7"/>
      <c r="E654" s="7"/>
      <c r="F654" s="7"/>
      <c r="G654" s="7"/>
      <c r="H654" s="7"/>
      <c r="I654" s="7"/>
      <c r="J654" s="7"/>
      <c r="K654" s="7"/>
      <c r="L654" s="32"/>
      <c r="M654" s="32"/>
      <c r="N654" s="8"/>
      <c r="O654" s="8"/>
      <c r="P654" s="8"/>
    </row>
    <row r="655" spans="1:16" ht="13.5" customHeight="1">
      <c r="A655" s="106" t="s">
        <v>531</v>
      </c>
      <c r="B655" s="106" t="s">
        <v>565</v>
      </c>
      <c r="C655" s="11" t="s">
        <v>16</v>
      </c>
      <c r="D655" s="32">
        <f t="shared" ref="D655:E655" si="253">SUM(D657:D662)</f>
        <v>817.75900000000001</v>
      </c>
      <c r="E655" s="32">
        <f t="shared" si="253"/>
        <v>595.65898000000004</v>
      </c>
      <c r="F655" s="32">
        <f t="shared" ref="F655:K655" si="254">SUM(F657:F662)</f>
        <v>0</v>
      </c>
      <c r="G655" s="32">
        <f t="shared" si="254"/>
        <v>0</v>
      </c>
      <c r="H655" s="32">
        <f t="shared" si="254"/>
        <v>0</v>
      </c>
      <c r="I655" s="32">
        <f t="shared" si="254"/>
        <v>0</v>
      </c>
      <c r="J655" s="32">
        <f t="shared" si="254"/>
        <v>0</v>
      </c>
      <c r="K655" s="32">
        <f t="shared" si="254"/>
        <v>0</v>
      </c>
      <c r="L655" s="32">
        <f>SUM(L657:L662)</f>
        <v>0</v>
      </c>
      <c r="M655" s="32">
        <f>SUM(M657:M662)</f>
        <v>0</v>
      </c>
      <c r="N655" s="32">
        <f t="shared" ref="N655:O655" si="255">SUM(N657:N662)</f>
        <v>0</v>
      </c>
      <c r="O655" s="32">
        <f t="shared" si="255"/>
        <v>0</v>
      </c>
      <c r="P655" s="8"/>
    </row>
    <row r="656" spans="1:16">
      <c r="A656" s="106"/>
      <c r="B656" s="106"/>
      <c r="C656" s="11" t="s">
        <v>17</v>
      </c>
      <c r="D656" s="32"/>
      <c r="E656" s="32"/>
      <c r="F656" s="32"/>
      <c r="G656" s="32"/>
      <c r="H656" s="32"/>
      <c r="I656" s="32"/>
      <c r="J656" s="32"/>
      <c r="K656" s="32"/>
      <c r="L656" s="32"/>
      <c r="M656" s="32"/>
      <c r="N656" s="32"/>
      <c r="O656" s="32"/>
      <c r="P656" s="8"/>
    </row>
    <row r="657" spans="1:16">
      <c r="A657" s="106"/>
      <c r="B657" s="106"/>
      <c r="C657" s="11" t="s">
        <v>27</v>
      </c>
      <c r="D657" s="32"/>
      <c r="E657" s="32"/>
      <c r="F657" s="32"/>
      <c r="G657" s="32"/>
      <c r="H657" s="32"/>
      <c r="I657" s="32"/>
      <c r="J657" s="32"/>
      <c r="K657" s="32"/>
      <c r="L657" s="32"/>
      <c r="M657" s="32"/>
      <c r="N657" s="32"/>
      <c r="O657" s="32"/>
      <c r="P657" s="8"/>
    </row>
    <row r="658" spans="1:16">
      <c r="A658" s="106"/>
      <c r="B658" s="106"/>
      <c r="C658" s="11" t="s">
        <v>19</v>
      </c>
      <c r="D658" s="32">
        <f>'приложение 9'!H487</f>
        <v>793.08600000000001</v>
      </c>
      <c r="E658" s="32">
        <f>'приложение 9'!I487</f>
        <v>570.98599999999999</v>
      </c>
      <c r="F658" s="32">
        <f>'приложение 9'!J487</f>
        <v>0</v>
      </c>
      <c r="G658" s="32">
        <f>'приложение 9'!K487</f>
        <v>0</v>
      </c>
      <c r="H658" s="32">
        <f>'приложение 9'!L487</f>
        <v>0</v>
      </c>
      <c r="I658" s="32">
        <f>'приложение 9'!M487</f>
        <v>0</v>
      </c>
      <c r="J658" s="32">
        <f>'приложение 9'!N487</f>
        <v>0</v>
      </c>
      <c r="K658" s="32">
        <f>'приложение 9'!O487</f>
        <v>0</v>
      </c>
      <c r="L658" s="32">
        <f>'приложение 9'!P487</f>
        <v>0</v>
      </c>
      <c r="M658" s="32">
        <f>'приложение 9'!Q487</f>
        <v>0</v>
      </c>
      <c r="N658" s="32">
        <f>'приложение 9'!R487</f>
        <v>0</v>
      </c>
      <c r="O658" s="32">
        <f>'приложение 9'!S487</f>
        <v>0</v>
      </c>
      <c r="P658" s="8"/>
    </row>
    <row r="659" spans="1:16">
      <c r="A659" s="106"/>
      <c r="B659" s="106"/>
      <c r="C659" s="11" t="s">
        <v>20</v>
      </c>
      <c r="D659" s="32">
        <f>'приложение 9'!H488</f>
        <v>24.672999999999998</v>
      </c>
      <c r="E659" s="32">
        <f>'приложение 9'!I488</f>
        <v>24.672979999999999</v>
      </c>
      <c r="F659" s="32">
        <f>'приложение 9'!J488</f>
        <v>0</v>
      </c>
      <c r="G659" s="32">
        <f>'приложение 9'!K488</f>
        <v>0</v>
      </c>
      <c r="H659" s="32">
        <f>'приложение 9'!L488</f>
        <v>0</v>
      </c>
      <c r="I659" s="32">
        <f>'приложение 9'!M488</f>
        <v>0</v>
      </c>
      <c r="J659" s="32">
        <f>'приложение 9'!N488</f>
        <v>0</v>
      </c>
      <c r="K659" s="32">
        <f>'приложение 9'!O488</f>
        <v>0</v>
      </c>
      <c r="L659" s="32">
        <f>'приложение 9'!P488</f>
        <v>0</v>
      </c>
      <c r="M659" s="32">
        <f>'приложение 9'!Q488</f>
        <v>0</v>
      </c>
      <c r="N659" s="32">
        <f>'приложение 9'!R488</f>
        <v>0</v>
      </c>
      <c r="O659" s="32">
        <f>'приложение 9'!S488</f>
        <v>0</v>
      </c>
      <c r="P659" s="8"/>
    </row>
    <row r="660" spans="1:16">
      <c r="A660" s="106"/>
      <c r="B660" s="106"/>
      <c r="C660" s="11" t="s">
        <v>21</v>
      </c>
      <c r="D660" s="7"/>
      <c r="E660" s="7"/>
      <c r="F660" s="7"/>
      <c r="G660" s="7"/>
      <c r="H660" s="7"/>
      <c r="I660" s="7"/>
      <c r="J660" s="7"/>
      <c r="K660" s="7"/>
      <c r="L660" s="32"/>
      <c r="M660" s="32"/>
      <c r="N660" s="8"/>
      <c r="O660" s="8"/>
      <c r="P660" s="8"/>
    </row>
    <row r="661" spans="1:16">
      <c r="A661" s="106"/>
      <c r="B661" s="106"/>
      <c r="C661" s="11" t="s">
        <v>22</v>
      </c>
      <c r="D661" s="7"/>
      <c r="E661" s="7"/>
      <c r="F661" s="7"/>
      <c r="G661" s="7"/>
      <c r="H661" s="7"/>
      <c r="I661" s="7"/>
      <c r="J661" s="7"/>
      <c r="K661" s="7"/>
      <c r="L661" s="32"/>
      <c r="M661" s="32"/>
      <c r="N661" s="8"/>
      <c r="O661" s="8"/>
      <c r="P661" s="8"/>
    </row>
    <row r="662" spans="1:16">
      <c r="A662" s="106"/>
      <c r="B662" s="106"/>
      <c r="C662" s="11" t="s">
        <v>23</v>
      </c>
      <c r="D662" s="7"/>
      <c r="E662" s="7"/>
      <c r="F662" s="7"/>
      <c r="G662" s="7"/>
      <c r="H662" s="7"/>
      <c r="I662" s="7"/>
      <c r="J662" s="7"/>
      <c r="K662" s="7"/>
      <c r="L662" s="32"/>
      <c r="M662" s="32"/>
      <c r="N662" s="8"/>
      <c r="O662" s="8"/>
      <c r="P662" s="8"/>
    </row>
    <row r="665" spans="1:16">
      <c r="A665" s="44"/>
      <c r="D665" s="43">
        <f>D7+D111+D151+D225+D265+D289+D361+D393+D505+D541+D573+D597+D613</f>
        <v>1181001.5339800001</v>
      </c>
      <c r="E665" s="43">
        <f>E7+E111+E151+E225+E265+E289+E361+E393+E505+E541+E573+E597+E613</f>
        <v>1120558.9769299999</v>
      </c>
      <c r="F665" s="43">
        <f t="shared" ref="F665:O665" si="256">F7+F111+F151+F225+F265+F289+F361+F393+F505+F541+F573+F597+F613</f>
        <v>189817.3113</v>
      </c>
      <c r="G665" s="43">
        <f t="shared" si="256"/>
        <v>189108.97398000001</v>
      </c>
      <c r="H665" s="43">
        <f t="shared" si="256"/>
        <v>457462.63986000005</v>
      </c>
      <c r="I665" s="43">
        <f t="shared" si="256"/>
        <v>456796.40148</v>
      </c>
      <c r="J665" s="43">
        <f t="shared" si="256"/>
        <v>639650.88645999983</v>
      </c>
      <c r="K665" s="43">
        <f t="shared" si="256"/>
        <v>632263.69697999989</v>
      </c>
      <c r="L665" s="43">
        <f t="shared" si="256"/>
        <v>1079942.9682899998</v>
      </c>
      <c r="M665" s="43">
        <f t="shared" si="256"/>
        <v>1024360.3160529998</v>
      </c>
      <c r="N665" s="43">
        <f t="shared" si="256"/>
        <v>972906.74425999995</v>
      </c>
      <c r="O665" s="43">
        <f t="shared" si="256"/>
        <v>817787.7309999998</v>
      </c>
    </row>
    <row r="666" spans="1:16" ht="15.6">
      <c r="A666" s="101" t="s">
        <v>765</v>
      </c>
    </row>
    <row r="667" spans="1:16" ht="15.6">
      <c r="A667" s="101" t="s">
        <v>766</v>
      </c>
    </row>
    <row r="668" spans="1:16" ht="15.6">
      <c r="A668" s="101" t="s">
        <v>767</v>
      </c>
      <c r="L668" s="104" t="s">
        <v>768</v>
      </c>
    </row>
    <row r="671" spans="1:16">
      <c r="A671" s="103" t="s">
        <v>769</v>
      </c>
    </row>
    <row r="672" spans="1:16">
      <c r="A672" s="103" t="s">
        <v>770</v>
      </c>
    </row>
  </sheetData>
  <mergeCells count="180">
    <mergeCell ref="A573:A580"/>
    <mergeCell ref="B573:B580"/>
    <mergeCell ref="A581:A588"/>
    <mergeCell ref="B581:B588"/>
    <mergeCell ref="A630:A637"/>
    <mergeCell ref="B630:B637"/>
    <mergeCell ref="A589:A596"/>
    <mergeCell ref="B589:B596"/>
    <mergeCell ref="A638:A645"/>
    <mergeCell ref="B638:B645"/>
    <mergeCell ref="A655:A662"/>
    <mergeCell ref="B655:B662"/>
    <mergeCell ref="A597:A604"/>
    <mergeCell ref="B597:B604"/>
    <mergeCell ref="A622:A629"/>
    <mergeCell ref="B622:B629"/>
    <mergeCell ref="A605:A612"/>
    <mergeCell ref="B605:B612"/>
    <mergeCell ref="A613:A621"/>
    <mergeCell ref="B613:B621"/>
    <mergeCell ref="A646:A654"/>
    <mergeCell ref="B646:B654"/>
    <mergeCell ref="B103:B110"/>
    <mergeCell ref="A111:A118"/>
    <mergeCell ref="B111:B118"/>
    <mergeCell ref="A160:A167"/>
    <mergeCell ref="B160:B167"/>
    <mergeCell ref="A176:A183"/>
    <mergeCell ref="B176:B183"/>
    <mergeCell ref="A184:A191"/>
    <mergeCell ref="B184:B191"/>
    <mergeCell ref="A127:A134"/>
    <mergeCell ref="B127:B134"/>
    <mergeCell ref="A151:A158"/>
    <mergeCell ref="B151:B158"/>
    <mergeCell ref="A135:A142"/>
    <mergeCell ref="B135:B142"/>
    <mergeCell ref="A168:A175"/>
    <mergeCell ref="B168:B175"/>
    <mergeCell ref="A143:A150"/>
    <mergeCell ref="B143:B150"/>
    <mergeCell ref="A159:B159"/>
    <mergeCell ref="A4:A6"/>
    <mergeCell ref="B4:B6"/>
    <mergeCell ref="C4:C6"/>
    <mergeCell ref="D4:E5"/>
    <mergeCell ref="N4:O5"/>
    <mergeCell ref="P4:P6"/>
    <mergeCell ref="F5:G5"/>
    <mergeCell ref="H5:I5"/>
    <mergeCell ref="J5:K5"/>
    <mergeCell ref="L5:M5"/>
    <mergeCell ref="A1:M1"/>
    <mergeCell ref="A2:M2"/>
    <mergeCell ref="F4:G4"/>
    <mergeCell ref="H4:I4"/>
    <mergeCell ref="J4:K4"/>
    <mergeCell ref="L4:M4"/>
    <mergeCell ref="A7:A14"/>
    <mergeCell ref="B7:B14"/>
    <mergeCell ref="A71:A78"/>
    <mergeCell ref="B71:B78"/>
    <mergeCell ref="A15:A22"/>
    <mergeCell ref="B15:B22"/>
    <mergeCell ref="A55:A62"/>
    <mergeCell ref="B55:B62"/>
    <mergeCell ref="A63:A70"/>
    <mergeCell ref="B63:B70"/>
    <mergeCell ref="A23:A30"/>
    <mergeCell ref="B23:B30"/>
    <mergeCell ref="A31:A38"/>
    <mergeCell ref="B31:B38"/>
    <mergeCell ref="A47:A54"/>
    <mergeCell ref="B47:B54"/>
    <mergeCell ref="A39:A46"/>
    <mergeCell ref="B39:B46"/>
    <mergeCell ref="A79:A86"/>
    <mergeCell ref="B79:B86"/>
    <mergeCell ref="A393:A400"/>
    <mergeCell ref="B393:B400"/>
    <mergeCell ref="A489:A496"/>
    <mergeCell ref="B489:B496"/>
    <mergeCell ref="B557:B564"/>
    <mergeCell ref="A192:A199"/>
    <mergeCell ref="B192:B199"/>
    <mergeCell ref="A249:A256"/>
    <mergeCell ref="B249:B256"/>
    <mergeCell ref="A313:A320"/>
    <mergeCell ref="B313:B320"/>
    <mergeCell ref="A321:A328"/>
    <mergeCell ref="B321:B328"/>
    <mergeCell ref="A337:A344"/>
    <mergeCell ref="A377:A384"/>
    <mergeCell ref="B377:B384"/>
    <mergeCell ref="A369:A376"/>
    <mergeCell ref="B369:B376"/>
    <mergeCell ref="A361:A368"/>
    <mergeCell ref="B361:B368"/>
    <mergeCell ref="A273:A280"/>
    <mergeCell ref="B273:B280"/>
    <mergeCell ref="A87:A94"/>
    <mergeCell ref="B87:B94"/>
    <mergeCell ref="A95:A102"/>
    <mergeCell ref="B95:B102"/>
    <mergeCell ref="A425:A432"/>
    <mergeCell ref="B425:B432"/>
    <mergeCell ref="A449:A456"/>
    <mergeCell ref="B449:B456"/>
    <mergeCell ref="B225:B232"/>
    <mergeCell ref="A233:A240"/>
    <mergeCell ref="B233:B240"/>
    <mergeCell ref="A257:A264"/>
    <mergeCell ref="B257:B264"/>
    <mergeCell ref="A401:A408"/>
    <mergeCell ref="B401:B408"/>
    <mergeCell ref="A345:A352"/>
    <mergeCell ref="B345:B352"/>
    <mergeCell ref="A353:A360"/>
    <mergeCell ref="B353:B360"/>
    <mergeCell ref="B337:B344"/>
    <mergeCell ref="A297:A304"/>
    <mergeCell ref="A119:A126"/>
    <mergeCell ref="B119:B126"/>
    <mergeCell ref="A103:A110"/>
    <mergeCell ref="A409:A416"/>
    <mergeCell ref="B409:B416"/>
    <mergeCell ref="A433:A440"/>
    <mergeCell ref="B433:B440"/>
    <mergeCell ref="A441:A448"/>
    <mergeCell ref="B441:B448"/>
    <mergeCell ref="A481:A488"/>
    <mergeCell ref="B481:B488"/>
    <mergeCell ref="A473:A480"/>
    <mergeCell ref="B473:B480"/>
    <mergeCell ref="A417:A424"/>
    <mergeCell ref="B417:B424"/>
    <mergeCell ref="A457:A464"/>
    <mergeCell ref="B457:B464"/>
    <mergeCell ref="A465:A472"/>
    <mergeCell ref="B465:B472"/>
    <mergeCell ref="A200:B200"/>
    <mergeCell ref="A201:A208"/>
    <mergeCell ref="B201:B208"/>
    <mergeCell ref="A209:A216"/>
    <mergeCell ref="B209:B216"/>
    <mergeCell ref="A217:A224"/>
    <mergeCell ref="B217:B224"/>
    <mergeCell ref="A329:A336"/>
    <mergeCell ref="B329:B336"/>
    <mergeCell ref="A281:A288"/>
    <mergeCell ref="B281:B288"/>
    <mergeCell ref="A289:A296"/>
    <mergeCell ref="B289:B296"/>
    <mergeCell ref="B297:B304"/>
    <mergeCell ref="A305:A312"/>
    <mergeCell ref="B305:B312"/>
    <mergeCell ref="A565:A572"/>
    <mergeCell ref="B565:B572"/>
    <mergeCell ref="A265:A272"/>
    <mergeCell ref="B265:B272"/>
    <mergeCell ref="A225:A232"/>
    <mergeCell ref="A241:A248"/>
    <mergeCell ref="B241:B248"/>
    <mergeCell ref="B541:B548"/>
    <mergeCell ref="A533:A540"/>
    <mergeCell ref="B533:B540"/>
    <mergeCell ref="A557:A564"/>
    <mergeCell ref="A549:A556"/>
    <mergeCell ref="B549:B556"/>
    <mergeCell ref="A541:A548"/>
    <mergeCell ref="A505:A514"/>
    <mergeCell ref="B505:B514"/>
    <mergeCell ref="A515:A524"/>
    <mergeCell ref="B515:B524"/>
    <mergeCell ref="A525:A532"/>
    <mergeCell ref="B525:B532"/>
    <mergeCell ref="A497:A504"/>
    <mergeCell ref="B497:B504"/>
    <mergeCell ref="A385:A392"/>
    <mergeCell ref="B385:B392"/>
  </mergeCells>
  <pageMargins left="0.78740157480314965" right="0.78740157480314965" top="0.78740157480314965" bottom="0.78740157480314965" header="0" footer="0"/>
  <pageSetup paperSize="9" scale="85" fitToHeight="1000"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T495"/>
  <sheetViews>
    <sheetView workbookViewId="0"/>
  </sheetViews>
  <sheetFormatPr defaultRowHeight="14.4"/>
  <cols>
    <col min="1" max="1" width="17.88671875" customWidth="1"/>
    <col min="2" max="2" width="27.33203125" customWidth="1"/>
    <col min="3" max="3" width="26.33203125" customWidth="1"/>
    <col min="4" max="5" width="5.88671875" style="12" customWidth="1"/>
    <col min="6" max="6" width="8" style="12" customWidth="1"/>
    <col min="7" max="7" width="7.33203125" style="12" customWidth="1"/>
    <col min="8" max="8" width="11.44140625" style="13" customWidth="1"/>
    <col min="9" max="9" width="11.109375" style="13" customWidth="1"/>
    <col min="10" max="10" width="10.6640625" style="13" customWidth="1"/>
    <col min="11" max="11" width="11.88671875" style="13" customWidth="1"/>
    <col min="12" max="12" width="11" style="13" customWidth="1"/>
    <col min="13" max="13" width="10.88671875" style="13" customWidth="1"/>
    <col min="14" max="14" width="11.109375" style="13" customWidth="1"/>
    <col min="15" max="15" width="11.5546875" style="13" customWidth="1"/>
    <col min="16" max="16" width="14.33203125" style="13" customWidth="1"/>
    <col min="17" max="17" width="12.44140625" style="13" customWidth="1"/>
    <col min="18" max="18" width="11.33203125" style="13" customWidth="1"/>
    <col min="19" max="19" width="11.6640625" style="13" customWidth="1"/>
    <col min="20" max="20" width="24.33203125" customWidth="1"/>
    <col min="251" max="251" width="17.88671875" customWidth="1"/>
    <col min="252" max="252" width="15.6640625" customWidth="1"/>
    <col min="253" max="253" width="26.33203125" customWidth="1"/>
    <col min="254" max="269" width="5.88671875" customWidth="1"/>
    <col min="270" max="270" width="22.6640625" customWidth="1"/>
    <col min="507" max="507" width="17.88671875" customWidth="1"/>
    <col min="508" max="508" width="15.6640625" customWidth="1"/>
    <col min="509" max="509" width="26.33203125" customWidth="1"/>
    <col min="510" max="525" width="5.88671875" customWidth="1"/>
    <col min="526" max="526" width="22.6640625" customWidth="1"/>
    <col min="763" max="763" width="17.88671875" customWidth="1"/>
    <col min="764" max="764" width="15.6640625" customWidth="1"/>
    <col min="765" max="765" width="26.33203125" customWidth="1"/>
    <col min="766" max="781" width="5.88671875" customWidth="1"/>
    <col min="782" max="782" width="22.6640625" customWidth="1"/>
    <col min="1019" max="1019" width="17.88671875" customWidth="1"/>
    <col min="1020" max="1020" width="15.6640625" customWidth="1"/>
    <col min="1021" max="1021" width="26.33203125" customWidth="1"/>
    <col min="1022" max="1037" width="5.88671875" customWidth="1"/>
    <col min="1038" max="1038" width="22.6640625" customWidth="1"/>
    <col min="1275" max="1275" width="17.88671875" customWidth="1"/>
    <col min="1276" max="1276" width="15.6640625" customWidth="1"/>
    <col min="1277" max="1277" width="26.33203125" customWidth="1"/>
    <col min="1278" max="1293" width="5.88671875" customWidth="1"/>
    <col min="1294" max="1294" width="22.6640625" customWidth="1"/>
    <col min="1531" max="1531" width="17.88671875" customWidth="1"/>
    <col min="1532" max="1532" width="15.6640625" customWidth="1"/>
    <col min="1533" max="1533" width="26.33203125" customWidth="1"/>
    <col min="1534" max="1549" width="5.88671875" customWidth="1"/>
    <col min="1550" max="1550" width="22.6640625" customWidth="1"/>
    <col min="1787" max="1787" width="17.88671875" customWidth="1"/>
    <col min="1788" max="1788" width="15.6640625" customWidth="1"/>
    <col min="1789" max="1789" width="26.33203125" customWidth="1"/>
    <col min="1790" max="1805" width="5.88671875" customWidth="1"/>
    <col min="1806" max="1806" width="22.6640625" customWidth="1"/>
    <col min="2043" max="2043" width="17.88671875" customWidth="1"/>
    <col min="2044" max="2044" width="15.6640625" customWidth="1"/>
    <col min="2045" max="2045" width="26.33203125" customWidth="1"/>
    <col min="2046" max="2061" width="5.88671875" customWidth="1"/>
    <col min="2062" max="2062" width="22.6640625" customWidth="1"/>
    <col min="2299" max="2299" width="17.88671875" customWidth="1"/>
    <col min="2300" max="2300" width="15.6640625" customWidth="1"/>
    <col min="2301" max="2301" width="26.33203125" customWidth="1"/>
    <col min="2302" max="2317" width="5.88671875" customWidth="1"/>
    <col min="2318" max="2318" width="22.6640625" customWidth="1"/>
    <col min="2555" max="2555" width="17.88671875" customWidth="1"/>
    <col min="2556" max="2556" width="15.6640625" customWidth="1"/>
    <col min="2557" max="2557" width="26.33203125" customWidth="1"/>
    <col min="2558" max="2573" width="5.88671875" customWidth="1"/>
    <col min="2574" max="2574" width="22.6640625" customWidth="1"/>
    <col min="2811" max="2811" width="17.88671875" customWidth="1"/>
    <col min="2812" max="2812" width="15.6640625" customWidth="1"/>
    <col min="2813" max="2813" width="26.33203125" customWidth="1"/>
    <col min="2814" max="2829" width="5.88671875" customWidth="1"/>
    <col min="2830" max="2830" width="22.6640625" customWidth="1"/>
    <col min="3067" max="3067" width="17.88671875" customWidth="1"/>
    <col min="3068" max="3068" width="15.6640625" customWidth="1"/>
    <col min="3069" max="3069" width="26.33203125" customWidth="1"/>
    <col min="3070" max="3085" width="5.88671875" customWidth="1"/>
    <col min="3086" max="3086" width="22.6640625" customWidth="1"/>
    <col min="3323" max="3323" width="17.88671875" customWidth="1"/>
    <col min="3324" max="3324" width="15.6640625" customWidth="1"/>
    <col min="3325" max="3325" width="26.33203125" customWidth="1"/>
    <col min="3326" max="3341" width="5.88671875" customWidth="1"/>
    <col min="3342" max="3342" width="22.6640625" customWidth="1"/>
    <col min="3579" max="3579" width="17.88671875" customWidth="1"/>
    <col min="3580" max="3580" width="15.6640625" customWidth="1"/>
    <col min="3581" max="3581" width="26.33203125" customWidth="1"/>
    <col min="3582" max="3597" width="5.88671875" customWidth="1"/>
    <col min="3598" max="3598" width="22.6640625" customWidth="1"/>
    <col min="3835" max="3835" width="17.88671875" customWidth="1"/>
    <col min="3836" max="3836" width="15.6640625" customWidth="1"/>
    <col min="3837" max="3837" width="26.33203125" customWidth="1"/>
    <col min="3838" max="3853" width="5.88671875" customWidth="1"/>
    <col min="3854" max="3854" width="22.6640625" customWidth="1"/>
    <col min="4091" max="4091" width="17.88671875" customWidth="1"/>
    <col min="4092" max="4092" width="15.6640625" customWidth="1"/>
    <col min="4093" max="4093" width="26.33203125" customWidth="1"/>
    <col min="4094" max="4109" width="5.88671875" customWidth="1"/>
    <col min="4110" max="4110" width="22.6640625" customWidth="1"/>
    <col min="4347" max="4347" width="17.88671875" customWidth="1"/>
    <col min="4348" max="4348" width="15.6640625" customWidth="1"/>
    <col min="4349" max="4349" width="26.33203125" customWidth="1"/>
    <col min="4350" max="4365" width="5.88671875" customWidth="1"/>
    <col min="4366" max="4366" width="22.6640625" customWidth="1"/>
    <col min="4603" max="4603" width="17.88671875" customWidth="1"/>
    <col min="4604" max="4604" width="15.6640625" customWidth="1"/>
    <col min="4605" max="4605" width="26.33203125" customWidth="1"/>
    <col min="4606" max="4621" width="5.88671875" customWidth="1"/>
    <col min="4622" max="4622" width="22.6640625" customWidth="1"/>
    <col min="4859" max="4859" width="17.88671875" customWidth="1"/>
    <col min="4860" max="4860" width="15.6640625" customWidth="1"/>
    <col min="4861" max="4861" width="26.33203125" customWidth="1"/>
    <col min="4862" max="4877" width="5.88671875" customWidth="1"/>
    <col min="4878" max="4878" width="22.6640625" customWidth="1"/>
    <col min="5115" max="5115" width="17.88671875" customWidth="1"/>
    <col min="5116" max="5116" width="15.6640625" customWidth="1"/>
    <col min="5117" max="5117" width="26.33203125" customWidth="1"/>
    <col min="5118" max="5133" width="5.88671875" customWidth="1"/>
    <col min="5134" max="5134" width="22.6640625" customWidth="1"/>
    <col min="5371" max="5371" width="17.88671875" customWidth="1"/>
    <col min="5372" max="5372" width="15.6640625" customWidth="1"/>
    <col min="5373" max="5373" width="26.33203125" customWidth="1"/>
    <col min="5374" max="5389" width="5.88671875" customWidth="1"/>
    <col min="5390" max="5390" width="22.6640625" customWidth="1"/>
    <col min="5627" max="5627" width="17.88671875" customWidth="1"/>
    <col min="5628" max="5628" width="15.6640625" customWidth="1"/>
    <col min="5629" max="5629" width="26.33203125" customWidth="1"/>
    <col min="5630" max="5645" width="5.88671875" customWidth="1"/>
    <col min="5646" max="5646" width="22.6640625" customWidth="1"/>
    <col min="5883" max="5883" width="17.88671875" customWidth="1"/>
    <col min="5884" max="5884" width="15.6640625" customWidth="1"/>
    <col min="5885" max="5885" width="26.33203125" customWidth="1"/>
    <col min="5886" max="5901" width="5.88671875" customWidth="1"/>
    <col min="5902" max="5902" width="22.6640625" customWidth="1"/>
    <col min="6139" max="6139" width="17.88671875" customWidth="1"/>
    <col min="6140" max="6140" width="15.6640625" customWidth="1"/>
    <col min="6141" max="6141" width="26.33203125" customWidth="1"/>
    <col min="6142" max="6157" width="5.88671875" customWidth="1"/>
    <col min="6158" max="6158" width="22.6640625" customWidth="1"/>
    <col min="6395" max="6395" width="17.88671875" customWidth="1"/>
    <col min="6396" max="6396" width="15.6640625" customWidth="1"/>
    <col min="6397" max="6397" width="26.33203125" customWidth="1"/>
    <col min="6398" max="6413" width="5.88671875" customWidth="1"/>
    <col min="6414" max="6414" width="22.6640625" customWidth="1"/>
    <col min="6651" max="6651" width="17.88671875" customWidth="1"/>
    <col min="6652" max="6652" width="15.6640625" customWidth="1"/>
    <col min="6653" max="6653" width="26.33203125" customWidth="1"/>
    <col min="6654" max="6669" width="5.88671875" customWidth="1"/>
    <col min="6670" max="6670" width="22.6640625" customWidth="1"/>
    <col min="6907" max="6907" width="17.88671875" customWidth="1"/>
    <col min="6908" max="6908" width="15.6640625" customWidth="1"/>
    <col min="6909" max="6909" width="26.33203125" customWidth="1"/>
    <col min="6910" max="6925" width="5.88671875" customWidth="1"/>
    <col min="6926" max="6926" width="22.6640625" customWidth="1"/>
    <col min="7163" max="7163" width="17.88671875" customWidth="1"/>
    <col min="7164" max="7164" width="15.6640625" customWidth="1"/>
    <col min="7165" max="7165" width="26.33203125" customWidth="1"/>
    <col min="7166" max="7181" width="5.88671875" customWidth="1"/>
    <col min="7182" max="7182" width="22.6640625" customWidth="1"/>
    <col min="7419" max="7419" width="17.88671875" customWidth="1"/>
    <col min="7420" max="7420" width="15.6640625" customWidth="1"/>
    <col min="7421" max="7421" width="26.33203125" customWidth="1"/>
    <col min="7422" max="7437" width="5.88671875" customWidth="1"/>
    <col min="7438" max="7438" width="22.6640625" customWidth="1"/>
    <col min="7675" max="7675" width="17.88671875" customWidth="1"/>
    <col min="7676" max="7676" width="15.6640625" customWidth="1"/>
    <col min="7677" max="7677" width="26.33203125" customWidth="1"/>
    <col min="7678" max="7693" width="5.88671875" customWidth="1"/>
    <col min="7694" max="7694" width="22.6640625" customWidth="1"/>
    <col min="7931" max="7931" width="17.88671875" customWidth="1"/>
    <col min="7932" max="7932" width="15.6640625" customWidth="1"/>
    <col min="7933" max="7933" width="26.33203125" customWidth="1"/>
    <col min="7934" max="7949" width="5.88671875" customWidth="1"/>
    <col min="7950" max="7950" width="22.6640625" customWidth="1"/>
    <col min="8187" max="8187" width="17.88671875" customWidth="1"/>
    <col min="8188" max="8188" width="15.6640625" customWidth="1"/>
    <col min="8189" max="8189" width="26.33203125" customWidth="1"/>
    <col min="8190" max="8205" width="5.88671875" customWidth="1"/>
    <col min="8206" max="8206" width="22.6640625" customWidth="1"/>
    <col min="8443" max="8443" width="17.88671875" customWidth="1"/>
    <col min="8444" max="8444" width="15.6640625" customWidth="1"/>
    <col min="8445" max="8445" width="26.33203125" customWidth="1"/>
    <col min="8446" max="8461" width="5.88671875" customWidth="1"/>
    <col min="8462" max="8462" width="22.6640625" customWidth="1"/>
    <col min="8699" max="8699" width="17.88671875" customWidth="1"/>
    <col min="8700" max="8700" width="15.6640625" customWidth="1"/>
    <col min="8701" max="8701" width="26.33203125" customWidth="1"/>
    <col min="8702" max="8717" width="5.88671875" customWidth="1"/>
    <col min="8718" max="8718" width="22.6640625" customWidth="1"/>
    <col min="8955" max="8955" width="17.88671875" customWidth="1"/>
    <col min="8956" max="8956" width="15.6640625" customWidth="1"/>
    <col min="8957" max="8957" width="26.33203125" customWidth="1"/>
    <col min="8958" max="8973" width="5.88671875" customWidth="1"/>
    <col min="8974" max="8974" width="22.6640625" customWidth="1"/>
    <col min="9211" max="9211" width="17.88671875" customWidth="1"/>
    <col min="9212" max="9212" width="15.6640625" customWidth="1"/>
    <col min="9213" max="9213" width="26.33203125" customWidth="1"/>
    <col min="9214" max="9229" width="5.88671875" customWidth="1"/>
    <col min="9230" max="9230" width="22.6640625" customWidth="1"/>
    <col min="9467" max="9467" width="17.88671875" customWidth="1"/>
    <col min="9468" max="9468" width="15.6640625" customWidth="1"/>
    <col min="9469" max="9469" width="26.33203125" customWidth="1"/>
    <col min="9470" max="9485" width="5.88671875" customWidth="1"/>
    <col min="9486" max="9486" width="22.6640625" customWidth="1"/>
    <col min="9723" max="9723" width="17.88671875" customWidth="1"/>
    <col min="9724" max="9724" width="15.6640625" customWidth="1"/>
    <col min="9725" max="9725" width="26.33203125" customWidth="1"/>
    <col min="9726" max="9741" width="5.88671875" customWidth="1"/>
    <col min="9742" max="9742" width="22.6640625" customWidth="1"/>
    <col min="9979" max="9979" width="17.88671875" customWidth="1"/>
    <col min="9980" max="9980" width="15.6640625" customWidth="1"/>
    <col min="9981" max="9981" width="26.33203125" customWidth="1"/>
    <col min="9982" max="9997" width="5.88671875" customWidth="1"/>
    <col min="9998" max="9998" width="22.6640625" customWidth="1"/>
    <col min="10235" max="10235" width="17.88671875" customWidth="1"/>
    <col min="10236" max="10236" width="15.6640625" customWidth="1"/>
    <col min="10237" max="10237" width="26.33203125" customWidth="1"/>
    <col min="10238" max="10253" width="5.88671875" customWidth="1"/>
    <col min="10254" max="10254" width="22.6640625" customWidth="1"/>
    <col min="10491" max="10491" width="17.88671875" customWidth="1"/>
    <col min="10492" max="10492" width="15.6640625" customWidth="1"/>
    <col min="10493" max="10493" width="26.33203125" customWidth="1"/>
    <col min="10494" max="10509" width="5.88671875" customWidth="1"/>
    <col min="10510" max="10510" width="22.6640625" customWidth="1"/>
    <col min="10747" max="10747" width="17.88671875" customWidth="1"/>
    <col min="10748" max="10748" width="15.6640625" customWidth="1"/>
    <col min="10749" max="10749" width="26.33203125" customWidth="1"/>
    <col min="10750" max="10765" width="5.88671875" customWidth="1"/>
    <col min="10766" max="10766" width="22.6640625" customWidth="1"/>
    <col min="11003" max="11003" width="17.88671875" customWidth="1"/>
    <col min="11004" max="11004" width="15.6640625" customWidth="1"/>
    <col min="11005" max="11005" width="26.33203125" customWidth="1"/>
    <col min="11006" max="11021" width="5.88671875" customWidth="1"/>
    <col min="11022" max="11022" width="22.6640625" customWidth="1"/>
    <col min="11259" max="11259" width="17.88671875" customWidth="1"/>
    <col min="11260" max="11260" width="15.6640625" customWidth="1"/>
    <col min="11261" max="11261" width="26.33203125" customWidth="1"/>
    <col min="11262" max="11277" width="5.88671875" customWidth="1"/>
    <col min="11278" max="11278" width="22.6640625" customWidth="1"/>
    <col min="11515" max="11515" width="17.88671875" customWidth="1"/>
    <col min="11516" max="11516" width="15.6640625" customWidth="1"/>
    <col min="11517" max="11517" width="26.33203125" customWidth="1"/>
    <col min="11518" max="11533" width="5.88671875" customWidth="1"/>
    <col min="11534" max="11534" width="22.6640625" customWidth="1"/>
    <col min="11771" max="11771" width="17.88671875" customWidth="1"/>
    <col min="11772" max="11772" width="15.6640625" customWidth="1"/>
    <col min="11773" max="11773" width="26.33203125" customWidth="1"/>
    <col min="11774" max="11789" width="5.88671875" customWidth="1"/>
    <col min="11790" max="11790" width="22.6640625" customWidth="1"/>
    <col min="12027" max="12027" width="17.88671875" customWidth="1"/>
    <col min="12028" max="12028" width="15.6640625" customWidth="1"/>
    <col min="12029" max="12029" width="26.33203125" customWidth="1"/>
    <col min="12030" max="12045" width="5.88671875" customWidth="1"/>
    <col min="12046" max="12046" width="22.6640625" customWidth="1"/>
    <col min="12283" max="12283" width="17.88671875" customWidth="1"/>
    <col min="12284" max="12284" width="15.6640625" customWidth="1"/>
    <col min="12285" max="12285" width="26.33203125" customWidth="1"/>
    <col min="12286" max="12301" width="5.88671875" customWidth="1"/>
    <col min="12302" max="12302" width="22.6640625" customWidth="1"/>
    <col min="12539" max="12539" width="17.88671875" customWidth="1"/>
    <col min="12540" max="12540" width="15.6640625" customWidth="1"/>
    <col min="12541" max="12541" width="26.33203125" customWidth="1"/>
    <col min="12542" max="12557" width="5.88671875" customWidth="1"/>
    <col min="12558" max="12558" width="22.6640625" customWidth="1"/>
    <col min="12795" max="12795" width="17.88671875" customWidth="1"/>
    <col min="12796" max="12796" width="15.6640625" customWidth="1"/>
    <col min="12797" max="12797" width="26.33203125" customWidth="1"/>
    <col min="12798" max="12813" width="5.88671875" customWidth="1"/>
    <col min="12814" max="12814" width="22.6640625" customWidth="1"/>
    <col min="13051" max="13051" width="17.88671875" customWidth="1"/>
    <col min="13052" max="13052" width="15.6640625" customWidth="1"/>
    <col min="13053" max="13053" width="26.33203125" customWidth="1"/>
    <col min="13054" max="13069" width="5.88671875" customWidth="1"/>
    <col min="13070" max="13070" width="22.6640625" customWidth="1"/>
    <col min="13307" max="13307" width="17.88671875" customWidth="1"/>
    <col min="13308" max="13308" width="15.6640625" customWidth="1"/>
    <col min="13309" max="13309" width="26.33203125" customWidth="1"/>
    <col min="13310" max="13325" width="5.88671875" customWidth="1"/>
    <col min="13326" max="13326" width="22.6640625" customWidth="1"/>
    <col min="13563" max="13563" width="17.88671875" customWidth="1"/>
    <col min="13564" max="13564" width="15.6640625" customWidth="1"/>
    <col min="13565" max="13565" width="26.33203125" customWidth="1"/>
    <col min="13566" max="13581" width="5.88671875" customWidth="1"/>
    <col min="13582" max="13582" width="22.6640625" customWidth="1"/>
    <col min="13819" max="13819" width="17.88671875" customWidth="1"/>
    <col min="13820" max="13820" width="15.6640625" customWidth="1"/>
    <col min="13821" max="13821" width="26.33203125" customWidth="1"/>
    <col min="13822" max="13837" width="5.88671875" customWidth="1"/>
    <col min="13838" max="13838" width="22.6640625" customWidth="1"/>
    <col min="14075" max="14075" width="17.88671875" customWidth="1"/>
    <col min="14076" max="14076" width="15.6640625" customWidth="1"/>
    <col min="14077" max="14077" width="26.33203125" customWidth="1"/>
    <col min="14078" max="14093" width="5.88671875" customWidth="1"/>
    <col min="14094" max="14094" width="22.6640625" customWidth="1"/>
    <col min="14331" max="14331" width="17.88671875" customWidth="1"/>
    <col min="14332" max="14332" width="15.6640625" customWidth="1"/>
    <col min="14333" max="14333" width="26.33203125" customWidth="1"/>
    <col min="14334" max="14349" width="5.88671875" customWidth="1"/>
    <col min="14350" max="14350" width="22.6640625" customWidth="1"/>
    <col min="14587" max="14587" width="17.88671875" customWidth="1"/>
    <col min="14588" max="14588" width="15.6640625" customWidth="1"/>
    <col min="14589" max="14589" width="26.33203125" customWidth="1"/>
    <col min="14590" max="14605" width="5.88671875" customWidth="1"/>
    <col min="14606" max="14606" width="22.6640625" customWidth="1"/>
    <col min="14843" max="14843" width="17.88671875" customWidth="1"/>
    <col min="14844" max="14844" width="15.6640625" customWidth="1"/>
    <col min="14845" max="14845" width="26.33203125" customWidth="1"/>
    <col min="14846" max="14861" width="5.88671875" customWidth="1"/>
    <col min="14862" max="14862" width="22.6640625" customWidth="1"/>
    <col min="15099" max="15099" width="17.88671875" customWidth="1"/>
    <col min="15100" max="15100" width="15.6640625" customWidth="1"/>
    <col min="15101" max="15101" width="26.33203125" customWidth="1"/>
    <col min="15102" max="15117" width="5.88671875" customWidth="1"/>
    <col min="15118" max="15118" width="22.6640625" customWidth="1"/>
    <col min="15355" max="15355" width="17.88671875" customWidth="1"/>
    <col min="15356" max="15356" width="15.6640625" customWidth="1"/>
    <col min="15357" max="15357" width="26.33203125" customWidth="1"/>
    <col min="15358" max="15373" width="5.88671875" customWidth="1"/>
    <col min="15374" max="15374" width="22.6640625" customWidth="1"/>
    <col min="15611" max="15611" width="17.88671875" customWidth="1"/>
    <col min="15612" max="15612" width="15.6640625" customWidth="1"/>
    <col min="15613" max="15613" width="26.33203125" customWidth="1"/>
    <col min="15614" max="15629" width="5.88671875" customWidth="1"/>
    <col min="15630" max="15630" width="22.6640625" customWidth="1"/>
    <col min="15867" max="15867" width="17.88671875" customWidth="1"/>
    <col min="15868" max="15868" width="15.6640625" customWidth="1"/>
    <col min="15869" max="15869" width="26.33203125" customWidth="1"/>
    <col min="15870" max="15885" width="5.88671875" customWidth="1"/>
    <col min="15886" max="15886" width="22.6640625" customWidth="1"/>
    <col min="16123" max="16123" width="17.88671875" customWidth="1"/>
    <col min="16124" max="16124" width="15.6640625" customWidth="1"/>
    <col min="16125" max="16125" width="26.33203125" customWidth="1"/>
    <col min="16126" max="16141" width="5.88671875" customWidth="1"/>
    <col min="16142" max="16142" width="22.6640625" customWidth="1"/>
  </cols>
  <sheetData>
    <row r="1" spans="1:20" ht="15.6">
      <c r="R1" s="142" t="s">
        <v>45</v>
      </c>
      <c r="S1" s="142"/>
      <c r="T1" s="142"/>
    </row>
    <row r="2" spans="1:20" ht="59.25" customHeight="1">
      <c r="R2" s="143" t="s">
        <v>0</v>
      </c>
      <c r="S2" s="143"/>
      <c r="T2" s="143"/>
    </row>
    <row r="4" spans="1:20" ht="39.75" customHeight="1">
      <c r="A4" s="144" t="s">
        <v>46</v>
      </c>
      <c r="B4" s="144"/>
      <c r="C4" s="144"/>
      <c r="D4" s="144"/>
      <c r="E4" s="144"/>
      <c r="F4" s="144"/>
      <c r="G4" s="144"/>
      <c r="H4" s="144"/>
      <c r="I4" s="144"/>
      <c r="J4" s="144"/>
      <c r="K4" s="144"/>
      <c r="L4" s="144"/>
      <c r="M4" s="144"/>
      <c r="N4" s="144"/>
      <c r="O4" s="144"/>
      <c r="P4" s="144"/>
      <c r="Q4" s="144"/>
      <c r="R4" s="144"/>
      <c r="S4" s="144"/>
      <c r="T4" s="144"/>
    </row>
    <row r="5" spans="1:20">
      <c r="T5" s="14" t="s">
        <v>1</v>
      </c>
    </row>
    <row r="6" spans="1:20" s="15" customFormat="1" ht="12.75" customHeight="1">
      <c r="A6" s="122" t="s">
        <v>47</v>
      </c>
      <c r="B6" s="122" t="s">
        <v>48</v>
      </c>
      <c r="C6" s="122" t="s">
        <v>49</v>
      </c>
      <c r="D6" s="145" t="s">
        <v>50</v>
      </c>
      <c r="E6" s="145"/>
      <c r="F6" s="145"/>
      <c r="G6" s="145"/>
      <c r="H6" s="146" t="s">
        <v>51</v>
      </c>
      <c r="I6" s="146"/>
      <c r="J6" s="146"/>
      <c r="K6" s="146"/>
      <c r="L6" s="146"/>
      <c r="M6" s="146"/>
      <c r="N6" s="146"/>
      <c r="O6" s="146"/>
      <c r="P6" s="146"/>
      <c r="Q6" s="146"/>
      <c r="R6" s="146"/>
      <c r="S6" s="146"/>
      <c r="T6" s="122" t="s">
        <v>52</v>
      </c>
    </row>
    <row r="7" spans="1:20" s="15" customFormat="1" ht="12.75" customHeight="1">
      <c r="A7" s="122"/>
      <c r="B7" s="122"/>
      <c r="C7" s="122"/>
      <c r="D7" s="145" t="s">
        <v>53</v>
      </c>
      <c r="E7" s="145" t="s">
        <v>54</v>
      </c>
      <c r="F7" s="145" t="s">
        <v>55</v>
      </c>
      <c r="G7" s="145" t="s">
        <v>56</v>
      </c>
      <c r="H7" s="147" t="s">
        <v>568</v>
      </c>
      <c r="I7" s="147"/>
      <c r="J7" s="147" t="s">
        <v>569</v>
      </c>
      <c r="K7" s="147"/>
      <c r="L7" s="147"/>
      <c r="M7" s="147"/>
      <c r="N7" s="147"/>
      <c r="O7" s="147"/>
      <c r="P7" s="147"/>
      <c r="Q7" s="147"/>
      <c r="R7" s="147" t="s">
        <v>5</v>
      </c>
      <c r="S7" s="147"/>
      <c r="T7" s="122"/>
    </row>
    <row r="8" spans="1:20" s="15" customFormat="1" ht="26.25" customHeight="1">
      <c r="A8" s="122"/>
      <c r="B8" s="122"/>
      <c r="C8" s="122"/>
      <c r="D8" s="145"/>
      <c r="E8" s="145"/>
      <c r="F8" s="145"/>
      <c r="G8" s="145"/>
      <c r="H8" s="147"/>
      <c r="I8" s="147"/>
      <c r="J8" s="147" t="s">
        <v>7</v>
      </c>
      <c r="K8" s="147"/>
      <c r="L8" s="147" t="s">
        <v>8</v>
      </c>
      <c r="M8" s="147"/>
      <c r="N8" s="147" t="s">
        <v>9</v>
      </c>
      <c r="O8" s="147"/>
      <c r="P8" s="147" t="s">
        <v>10</v>
      </c>
      <c r="Q8" s="147"/>
      <c r="R8" s="147"/>
      <c r="S8" s="147"/>
      <c r="T8" s="122"/>
    </row>
    <row r="9" spans="1:20" s="15" customFormat="1" ht="13.2">
      <c r="A9" s="122"/>
      <c r="B9" s="122"/>
      <c r="C9" s="122"/>
      <c r="D9" s="145"/>
      <c r="E9" s="145"/>
      <c r="F9" s="145"/>
      <c r="G9" s="145"/>
      <c r="H9" s="16" t="s">
        <v>11</v>
      </c>
      <c r="I9" s="16" t="s">
        <v>12</v>
      </c>
      <c r="J9" s="16" t="s">
        <v>11</v>
      </c>
      <c r="K9" s="16" t="s">
        <v>12</v>
      </c>
      <c r="L9" s="16" t="s">
        <v>11</v>
      </c>
      <c r="M9" s="16" t="s">
        <v>12</v>
      </c>
      <c r="N9" s="16" t="s">
        <v>11</v>
      </c>
      <c r="O9" s="16" t="s">
        <v>12</v>
      </c>
      <c r="P9" s="16" t="s">
        <v>11</v>
      </c>
      <c r="Q9" s="16" t="s">
        <v>12</v>
      </c>
      <c r="R9" s="16" t="s">
        <v>13</v>
      </c>
      <c r="S9" s="16" t="s">
        <v>14</v>
      </c>
      <c r="T9" s="122"/>
    </row>
    <row r="10" spans="1:20" s="22" customFormat="1" ht="20.25" customHeight="1">
      <c r="A10" s="133" t="s">
        <v>28</v>
      </c>
      <c r="B10" s="133"/>
      <c r="C10" s="17" t="s">
        <v>57</v>
      </c>
      <c r="D10" s="18"/>
      <c r="E10" s="18"/>
      <c r="F10" s="18"/>
      <c r="G10" s="18"/>
      <c r="H10" s="19">
        <f t="shared" ref="H10:K10" si="0">H11</f>
        <v>637939.22306999995</v>
      </c>
      <c r="I10" s="19">
        <f t="shared" si="0"/>
        <v>616488.70757000009</v>
      </c>
      <c r="J10" s="20">
        <f t="shared" si="0"/>
        <v>123401.54597999998</v>
      </c>
      <c r="K10" s="20">
        <f t="shared" si="0"/>
        <v>122964.98071</v>
      </c>
      <c r="L10" s="20">
        <f t="shared" ref="L10" si="1">L11</f>
        <v>314419.98998999997</v>
      </c>
      <c r="M10" s="20">
        <f t="shared" ref="M10" si="2">M11</f>
        <v>314382.32910999993</v>
      </c>
      <c r="N10" s="20">
        <f t="shared" ref="N10" si="3">N11</f>
        <v>434071.58283999999</v>
      </c>
      <c r="O10" s="20">
        <f t="shared" ref="O10" si="4">O11</f>
        <v>432202.13539999997</v>
      </c>
      <c r="P10" s="20">
        <f>P11</f>
        <v>622283.70550000004</v>
      </c>
      <c r="Q10" s="20">
        <f>Q11</f>
        <v>617467.19410999992</v>
      </c>
      <c r="R10" s="20">
        <f>R11</f>
        <v>570021.44000000006</v>
      </c>
      <c r="S10" s="20">
        <f t="shared" ref="S10" si="5">S11</f>
        <v>564754.64</v>
      </c>
      <c r="T10" s="21"/>
    </row>
    <row r="11" spans="1:20" s="22" customFormat="1" ht="59.25" customHeight="1">
      <c r="A11" s="133"/>
      <c r="B11" s="133"/>
      <c r="C11" s="17" t="s">
        <v>58</v>
      </c>
      <c r="D11" s="18" t="s">
        <v>59</v>
      </c>
      <c r="E11" s="18"/>
      <c r="F11" s="18"/>
      <c r="G11" s="18"/>
      <c r="H11" s="19">
        <f t="shared" ref="H11:O11" si="6">H12+H72+H79+H81+H85+H87+H92+H98+H105+H76+H101+H109</f>
        <v>637939.22306999995</v>
      </c>
      <c r="I11" s="19">
        <f t="shared" si="6"/>
        <v>616488.70757000009</v>
      </c>
      <c r="J11" s="19">
        <f>J12+J72+J79+J81+J85+J87+J92+J98+J105+J76+J101+J109</f>
        <v>123401.54597999998</v>
      </c>
      <c r="K11" s="19">
        <f t="shared" si="6"/>
        <v>122964.98071</v>
      </c>
      <c r="L11" s="19">
        <f t="shared" si="6"/>
        <v>314419.98998999997</v>
      </c>
      <c r="M11" s="19">
        <f t="shared" si="6"/>
        <v>314382.32910999993</v>
      </c>
      <c r="N11" s="19">
        <f t="shared" si="6"/>
        <v>434071.58283999999</v>
      </c>
      <c r="O11" s="19">
        <f t="shared" si="6"/>
        <v>432202.13539999997</v>
      </c>
      <c r="P11" s="19">
        <f>P12+P72+P79+P81+P85+P87+P92+P98+P105+P76+P101+P109</f>
        <v>622283.70550000004</v>
      </c>
      <c r="Q11" s="19">
        <f>Q12+Q72+Q79+Q81+Q85+Q87+Q92+Q98+Q105+Q76+Q101+Q109</f>
        <v>617467.19410999992</v>
      </c>
      <c r="R11" s="19">
        <f>R12+R72+R79+R81+R85+R87+R92+R98+R105</f>
        <v>570021.44000000006</v>
      </c>
      <c r="S11" s="19">
        <f>S12+S72+S79+S81+S85+S87+S92+S98+S105</f>
        <v>564754.64</v>
      </c>
      <c r="T11" s="21"/>
    </row>
    <row r="12" spans="1:20" s="15" customFormat="1" ht="21.75" customHeight="1">
      <c r="A12" s="109" t="s">
        <v>60</v>
      </c>
      <c r="B12" s="11"/>
      <c r="C12" s="11" t="s">
        <v>57</v>
      </c>
      <c r="D12" s="23"/>
      <c r="E12" s="24"/>
      <c r="F12" s="24"/>
      <c r="G12" s="24"/>
      <c r="H12" s="25">
        <f t="shared" ref="H12:I12" si="7">H13</f>
        <v>540851.25144000002</v>
      </c>
      <c r="I12" s="25">
        <f t="shared" si="7"/>
        <v>533306.8409699999</v>
      </c>
      <c r="J12" s="25">
        <f>J13</f>
        <v>111961.39914999998</v>
      </c>
      <c r="K12" s="25">
        <f>K13</f>
        <v>111774.02176999999</v>
      </c>
      <c r="L12" s="25">
        <f t="shared" ref="L12:O12" si="8">L13</f>
        <v>288993.76319999999</v>
      </c>
      <c r="M12" s="25">
        <f t="shared" si="8"/>
        <v>288991.36194999999</v>
      </c>
      <c r="N12" s="25">
        <f t="shared" si="8"/>
        <v>396816.86523999996</v>
      </c>
      <c r="O12" s="25">
        <f t="shared" si="8"/>
        <v>395051.45930999995</v>
      </c>
      <c r="P12" s="25">
        <f>P13</f>
        <v>567960.47988999996</v>
      </c>
      <c r="Q12" s="25">
        <f>Q13</f>
        <v>563613.54195999994</v>
      </c>
      <c r="R12" s="25">
        <f t="shared" ref="R12:S12" si="9">R13</f>
        <v>507118.533</v>
      </c>
      <c r="S12" s="25">
        <f t="shared" si="9"/>
        <v>507118.533</v>
      </c>
      <c r="T12" s="73"/>
    </row>
    <row r="13" spans="1:20" s="15" customFormat="1" ht="52.5" customHeight="1">
      <c r="A13" s="110"/>
      <c r="B13" s="11"/>
      <c r="C13" s="109" t="s">
        <v>58</v>
      </c>
      <c r="D13" s="23" t="s">
        <v>59</v>
      </c>
      <c r="E13" s="24"/>
      <c r="F13" s="24"/>
      <c r="G13" s="24"/>
      <c r="H13" s="25">
        <f>SUM(H14:H71)</f>
        <v>540851.25144000002</v>
      </c>
      <c r="I13" s="25">
        <f t="shared" ref="I13:O13" si="10">SUM(I14:I71)</f>
        <v>533306.8409699999</v>
      </c>
      <c r="J13" s="25">
        <f>SUM(J14:J71)</f>
        <v>111961.39914999998</v>
      </c>
      <c r="K13" s="25">
        <f t="shared" si="10"/>
        <v>111774.02176999999</v>
      </c>
      <c r="L13" s="25">
        <f t="shared" si="10"/>
        <v>288993.76319999999</v>
      </c>
      <c r="M13" s="25">
        <f t="shared" si="10"/>
        <v>288991.36194999999</v>
      </c>
      <c r="N13" s="25">
        <f t="shared" si="10"/>
        <v>396816.86523999996</v>
      </c>
      <c r="O13" s="25">
        <f t="shared" si="10"/>
        <v>395051.45930999995</v>
      </c>
      <c r="P13" s="25">
        <f>SUM(P14:P71)</f>
        <v>567960.47988999996</v>
      </c>
      <c r="Q13" s="25">
        <f>SUM(Q14:Q71)</f>
        <v>563613.54195999994</v>
      </c>
      <c r="R13" s="25">
        <f t="shared" ref="R13:S13" si="11">SUM(R14:R71)</f>
        <v>507118.533</v>
      </c>
      <c r="S13" s="25">
        <f t="shared" si="11"/>
        <v>507118.533</v>
      </c>
      <c r="T13" s="73"/>
    </row>
    <row r="14" spans="1:20" s="15" customFormat="1" ht="35.25" customHeight="1">
      <c r="A14" s="110"/>
      <c r="B14" s="109" t="s">
        <v>30</v>
      </c>
      <c r="C14" s="110"/>
      <c r="D14" s="23" t="s">
        <v>59</v>
      </c>
      <c r="E14" s="24" t="s">
        <v>61</v>
      </c>
      <c r="F14" s="24" t="s">
        <v>62</v>
      </c>
      <c r="G14" s="24" t="s">
        <v>570</v>
      </c>
      <c r="H14" s="25">
        <f>17.004+4995.8663</f>
        <v>5012.8702999999996</v>
      </c>
      <c r="I14" s="25">
        <f>17.004+4995.8663</f>
        <v>5012.8702999999996</v>
      </c>
      <c r="J14" s="25">
        <v>973.17600000000004</v>
      </c>
      <c r="K14" s="25">
        <v>973.17600000000004</v>
      </c>
      <c r="L14" s="25">
        <v>2511.62</v>
      </c>
      <c r="M14" s="25">
        <v>2511.62</v>
      </c>
      <c r="N14" s="25">
        <f>1451.13805+5235.812</f>
        <v>6686.9500499999995</v>
      </c>
      <c r="O14" s="25">
        <f>1451.13805+5235.812</f>
        <v>6686.9500499999995</v>
      </c>
      <c r="P14" s="25">
        <f>2656.13805+9235.25595</f>
        <v>11891.394</v>
      </c>
      <c r="Q14" s="25">
        <f>2656.13805+9235.25595</f>
        <v>11891.394</v>
      </c>
      <c r="R14" s="25"/>
      <c r="S14" s="25"/>
      <c r="T14" s="73"/>
    </row>
    <row r="15" spans="1:20" s="15" customFormat="1" ht="35.25" customHeight="1">
      <c r="A15" s="110"/>
      <c r="B15" s="110"/>
      <c r="C15" s="110"/>
      <c r="D15" s="23" t="s">
        <v>59</v>
      </c>
      <c r="E15" s="24" t="s">
        <v>64</v>
      </c>
      <c r="F15" s="24" t="s">
        <v>62</v>
      </c>
      <c r="G15" s="24" t="s">
        <v>570</v>
      </c>
      <c r="H15" s="25">
        <f>150.7707+6883.986</f>
        <v>7034.7566999999999</v>
      </c>
      <c r="I15" s="25">
        <f>150.7707+6883.986</f>
        <v>7034.7566999999999</v>
      </c>
      <c r="J15" s="25">
        <v>1455.4588900000001</v>
      </c>
      <c r="K15" s="25">
        <v>1381.2868900000001</v>
      </c>
      <c r="L15" s="25">
        <v>3899.58689</v>
      </c>
      <c r="M15" s="25">
        <v>3899.58689</v>
      </c>
      <c r="N15" s="25">
        <f>1633.56419+6876.06942</f>
        <v>8509.6336100000008</v>
      </c>
      <c r="O15" s="25">
        <f>1633.56419+6876.06942</f>
        <v>8509.6336100000008</v>
      </c>
      <c r="P15" s="25">
        <f>3131.68343+11477.18904</f>
        <v>14608.872469999998</v>
      </c>
      <c r="Q15" s="25">
        <f>3131.68343+11477.18904</f>
        <v>14608.872469999998</v>
      </c>
      <c r="R15" s="25"/>
      <c r="S15" s="25"/>
      <c r="T15" s="73"/>
    </row>
    <row r="16" spans="1:20" s="15" customFormat="1" ht="35.25" customHeight="1">
      <c r="A16" s="110"/>
      <c r="B16" s="111"/>
      <c r="C16" s="110"/>
      <c r="D16" s="23" t="s">
        <v>59</v>
      </c>
      <c r="E16" s="24" t="s">
        <v>64</v>
      </c>
      <c r="F16" s="24" t="s">
        <v>62</v>
      </c>
      <c r="G16" s="24" t="s">
        <v>571</v>
      </c>
      <c r="H16" s="25">
        <f>505.096</f>
        <v>505.096</v>
      </c>
      <c r="I16" s="25">
        <v>505.096</v>
      </c>
      <c r="J16" s="25">
        <v>124.001</v>
      </c>
      <c r="K16" s="25">
        <v>124.001</v>
      </c>
      <c r="L16" s="25">
        <v>312.17200000000003</v>
      </c>
      <c r="M16" s="25">
        <v>312.17200000000003</v>
      </c>
      <c r="N16" s="25">
        <f>147.619+490.697</f>
        <v>638.31600000000003</v>
      </c>
      <c r="O16" s="25">
        <f>147.619+490.697</f>
        <v>638.31600000000003</v>
      </c>
      <c r="P16" s="25">
        <f>292.619+864.48</f>
        <v>1157.0990000000002</v>
      </c>
      <c r="Q16" s="25">
        <f>292.619+864.48</f>
        <v>1157.0990000000002</v>
      </c>
      <c r="R16" s="25"/>
      <c r="S16" s="25"/>
      <c r="T16" s="73"/>
    </row>
    <row r="17" spans="1:20" s="15" customFormat="1" ht="54" customHeight="1">
      <c r="A17" s="110"/>
      <c r="B17" s="109" t="s">
        <v>66</v>
      </c>
      <c r="C17" s="110"/>
      <c r="D17" s="23" t="s">
        <v>59</v>
      </c>
      <c r="E17" s="24" t="s">
        <v>61</v>
      </c>
      <c r="F17" s="24" t="s">
        <v>67</v>
      </c>
      <c r="G17" s="24" t="s">
        <v>63</v>
      </c>
      <c r="H17" s="25">
        <v>792.84299999999996</v>
      </c>
      <c r="I17" s="25">
        <v>792.84299999999996</v>
      </c>
      <c r="J17" s="25"/>
      <c r="K17" s="25"/>
      <c r="L17" s="25"/>
      <c r="M17" s="25"/>
      <c r="N17" s="25"/>
      <c r="O17" s="25"/>
      <c r="P17" s="25"/>
      <c r="Q17" s="25"/>
      <c r="R17" s="25"/>
      <c r="S17" s="25"/>
      <c r="T17" s="73"/>
    </row>
    <row r="18" spans="1:20" s="15" customFormat="1" ht="54" customHeight="1">
      <c r="A18" s="110"/>
      <c r="B18" s="111"/>
      <c r="C18" s="110"/>
      <c r="D18" s="23" t="s">
        <v>59</v>
      </c>
      <c r="E18" s="24" t="s">
        <v>64</v>
      </c>
      <c r="F18" s="24" t="s">
        <v>67</v>
      </c>
      <c r="G18" s="24" t="s">
        <v>63</v>
      </c>
      <c r="H18" s="25">
        <v>228.36500000000001</v>
      </c>
      <c r="I18" s="25">
        <v>228.36500000000001</v>
      </c>
      <c r="J18" s="25"/>
      <c r="K18" s="25"/>
      <c r="L18" s="25"/>
      <c r="M18" s="25"/>
      <c r="N18" s="25"/>
      <c r="O18" s="25"/>
      <c r="P18" s="25"/>
      <c r="Q18" s="25"/>
      <c r="R18" s="25"/>
      <c r="S18" s="25"/>
      <c r="T18" s="73"/>
    </row>
    <row r="19" spans="1:20" s="15" customFormat="1" ht="132" customHeight="1">
      <c r="A19" s="110"/>
      <c r="B19" s="11" t="s">
        <v>572</v>
      </c>
      <c r="C19" s="110"/>
      <c r="D19" s="23" t="s">
        <v>59</v>
      </c>
      <c r="E19" s="24" t="s">
        <v>64</v>
      </c>
      <c r="F19" s="24" t="s">
        <v>69</v>
      </c>
      <c r="G19" s="24" t="s">
        <v>570</v>
      </c>
      <c r="H19" s="25">
        <f>15.70968+60.06732</f>
        <v>75.777000000000001</v>
      </c>
      <c r="I19" s="25">
        <f>15.70968+60.06732</f>
        <v>75.777000000000001</v>
      </c>
      <c r="J19" s="25">
        <v>16.395659999999999</v>
      </c>
      <c r="K19" s="25">
        <v>16.395659999999999</v>
      </c>
      <c r="L19" s="25">
        <v>170.05849000000001</v>
      </c>
      <c r="M19" s="25">
        <v>170.05849000000001</v>
      </c>
      <c r="N19" s="25">
        <v>208.24849</v>
      </c>
      <c r="O19" s="25">
        <v>208.24849</v>
      </c>
      <c r="P19" s="25">
        <v>322.73029000000002</v>
      </c>
      <c r="Q19" s="25">
        <v>322.73029000000002</v>
      </c>
      <c r="R19" s="25"/>
      <c r="S19" s="25"/>
      <c r="T19" s="73"/>
    </row>
    <row r="20" spans="1:20" s="15" customFormat="1" ht="57" customHeight="1">
      <c r="A20" s="110"/>
      <c r="B20" s="11" t="s">
        <v>70</v>
      </c>
      <c r="C20" s="110"/>
      <c r="D20" s="23" t="s">
        <v>59</v>
      </c>
      <c r="E20" s="24" t="s">
        <v>61</v>
      </c>
      <c r="F20" s="24" t="s">
        <v>71</v>
      </c>
      <c r="G20" s="24" t="s">
        <v>63</v>
      </c>
      <c r="H20" s="25">
        <v>3272.7</v>
      </c>
      <c r="I20" s="25">
        <v>3272.7</v>
      </c>
      <c r="J20" s="25"/>
      <c r="K20" s="25"/>
      <c r="L20" s="25"/>
      <c r="M20" s="25"/>
      <c r="N20" s="25"/>
      <c r="O20" s="25"/>
      <c r="P20" s="25"/>
      <c r="Q20" s="25"/>
      <c r="R20" s="25"/>
      <c r="S20" s="25"/>
      <c r="T20" s="73"/>
    </row>
    <row r="21" spans="1:20" s="15" customFormat="1" ht="69" customHeight="1">
      <c r="A21" s="110"/>
      <c r="B21" s="46" t="s">
        <v>279</v>
      </c>
      <c r="C21" s="110"/>
      <c r="D21" s="23" t="s">
        <v>59</v>
      </c>
      <c r="E21" s="24" t="s">
        <v>64</v>
      </c>
      <c r="F21" s="24" t="s">
        <v>575</v>
      </c>
      <c r="G21" s="24" t="s">
        <v>573</v>
      </c>
      <c r="H21" s="25"/>
      <c r="I21" s="25"/>
      <c r="J21" s="25"/>
      <c r="K21" s="25"/>
      <c r="L21" s="25"/>
      <c r="M21" s="25"/>
      <c r="N21" s="25"/>
      <c r="O21" s="25"/>
      <c r="P21" s="25">
        <v>694</v>
      </c>
      <c r="Q21" s="25">
        <v>694</v>
      </c>
      <c r="R21" s="25"/>
      <c r="S21" s="25"/>
      <c r="T21" s="73"/>
    </row>
    <row r="22" spans="1:20" s="15" customFormat="1" ht="48.75" customHeight="1">
      <c r="A22" s="110"/>
      <c r="B22" s="109" t="s">
        <v>577</v>
      </c>
      <c r="C22" s="110"/>
      <c r="D22" s="23" t="s">
        <v>59</v>
      </c>
      <c r="E22" s="24" t="s">
        <v>64</v>
      </c>
      <c r="F22" s="24" t="s">
        <v>576</v>
      </c>
      <c r="G22" s="59" t="s">
        <v>589</v>
      </c>
      <c r="H22" s="25"/>
      <c r="I22" s="25"/>
      <c r="J22" s="25"/>
      <c r="K22" s="25"/>
      <c r="L22" s="25"/>
      <c r="M22" s="25"/>
      <c r="N22" s="25">
        <v>1740.59869</v>
      </c>
      <c r="O22" s="25"/>
      <c r="P22" s="25">
        <f>6958.923</f>
        <v>6958.9229999999998</v>
      </c>
      <c r="Q22" s="25">
        <f>5502.04221</f>
        <v>5502.0422099999996</v>
      </c>
      <c r="R22" s="25"/>
      <c r="S22" s="25"/>
      <c r="T22" s="74" t="s">
        <v>723</v>
      </c>
    </row>
    <row r="23" spans="1:20" s="15" customFormat="1" ht="48.75" customHeight="1">
      <c r="A23" s="110"/>
      <c r="B23" s="111"/>
      <c r="C23" s="110"/>
      <c r="D23" s="23" t="s">
        <v>59</v>
      </c>
      <c r="E23" s="24" t="s">
        <v>64</v>
      </c>
      <c r="F23" s="24" t="s">
        <v>576</v>
      </c>
      <c r="G23" s="59" t="s">
        <v>573</v>
      </c>
      <c r="H23" s="25"/>
      <c r="I23" s="25"/>
      <c r="J23" s="25"/>
      <c r="K23" s="25"/>
      <c r="L23" s="25"/>
      <c r="M23" s="25"/>
      <c r="N23" s="25"/>
      <c r="O23" s="25"/>
      <c r="P23" s="25">
        <v>615.13699999999994</v>
      </c>
      <c r="Q23" s="25">
        <v>615.13699999999994</v>
      </c>
      <c r="R23" s="25"/>
      <c r="S23" s="25"/>
      <c r="T23" s="73"/>
    </row>
    <row r="24" spans="1:20" s="15" customFormat="1" ht="222" customHeight="1">
      <c r="A24" s="110"/>
      <c r="B24" s="11" t="s">
        <v>72</v>
      </c>
      <c r="C24" s="110"/>
      <c r="D24" s="23" t="s">
        <v>59</v>
      </c>
      <c r="E24" s="24" t="s">
        <v>61</v>
      </c>
      <c r="F24" s="24" t="s">
        <v>73</v>
      </c>
      <c r="G24" s="24" t="s">
        <v>63</v>
      </c>
      <c r="H24" s="25">
        <v>6029.8990000000003</v>
      </c>
      <c r="I24" s="25">
        <v>6029.8990000000003</v>
      </c>
      <c r="J24" s="25"/>
      <c r="K24" s="25"/>
      <c r="L24" s="25"/>
      <c r="M24" s="25"/>
      <c r="N24" s="25"/>
      <c r="O24" s="25"/>
      <c r="P24" s="25"/>
      <c r="Q24" s="25"/>
      <c r="R24" s="25"/>
      <c r="S24" s="25"/>
      <c r="T24" s="73"/>
    </row>
    <row r="25" spans="1:20" s="15" customFormat="1" ht="81" customHeight="1">
      <c r="A25" s="110"/>
      <c r="B25" s="11" t="s">
        <v>74</v>
      </c>
      <c r="C25" s="110"/>
      <c r="D25" s="23" t="s">
        <v>59</v>
      </c>
      <c r="E25" s="24" t="s">
        <v>75</v>
      </c>
      <c r="F25" s="24" t="s">
        <v>76</v>
      </c>
      <c r="G25" s="24" t="s">
        <v>573</v>
      </c>
      <c r="H25" s="25">
        <v>584.6</v>
      </c>
      <c r="I25" s="25">
        <v>584.6</v>
      </c>
      <c r="J25" s="25"/>
      <c r="K25" s="25"/>
      <c r="L25" s="25"/>
      <c r="M25" s="25"/>
      <c r="N25" s="25">
        <v>516.39</v>
      </c>
      <c r="O25" s="25">
        <v>516.39</v>
      </c>
      <c r="P25" s="25">
        <v>516.39</v>
      </c>
      <c r="Q25" s="25">
        <v>516.39</v>
      </c>
      <c r="R25" s="25"/>
      <c r="S25" s="25"/>
      <c r="T25" s="73"/>
    </row>
    <row r="26" spans="1:20" s="15" customFormat="1" ht="168.75" customHeight="1">
      <c r="A26" s="110"/>
      <c r="B26" s="11" t="s">
        <v>77</v>
      </c>
      <c r="C26" s="110"/>
      <c r="D26" s="23" t="s">
        <v>59</v>
      </c>
      <c r="E26" s="24" t="s">
        <v>78</v>
      </c>
      <c r="F26" s="24" t="s">
        <v>79</v>
      </c>
      <c r="G26" s="24" t="s">
        <v>573</v>
      </c>
      <c r="H26" s="25">
        <v>360.4</v>
      </c>
      <c r="I26" s="25">
        <v>323.36500000000001</v>
      </c>
      <c r="J26" s="25">
        <v>50</v>
      </c>
      <c r="K26" s="25">
        <v>50</v>
      </c>
      <c r="L26" s="25">
        <v>135</v>
      </c>
      <c r="M26" s="25">
        <v>135</v>
      </c>
      <c r="N26" s="25">
        <v>246</v>
      </c>
      <c r="O26" s="25">
        <v>246</v>
      </c>
      <c r="P26" s="25">
        <v>471.9</v>
      </c>
      <c r="Q26" s="25">
        <v>439</v>
      </c>
      <c r="R26" s="25">
        <v>471.9</v>
      </c>
      <c r="S26" s="25">
        <v>471.9</v>
      </c>
      <c r="T26" s="75" t="s">
        <v>746</v>
      </c>
    </row>
    <row r="27" spans="1:20" s="15" customFormat="1" ht="99" customHeight="1">
      <c r="A27" s="110"/>
      <c r="B27" s="11" t="s">
        <v>80</v>
      </c>
      <c r="C27" s="110"/>
      <c r="D27" s="23" t="s">
        <v>59</v>
      </c>
      <c r="E27" s="24" t="s">
        <v>81</v>
      </c>
      <c r="F27" s="24" t="s">
        <v>82</v>
      </c>
      <c r="G27" s="24" t="s">
        <v>83</v>
      </c>
      <c r="H27" s="25">
        <v>2911.2</v>
      </c>
      <c r="I27" s="25">
        <v>2906.1303499999999</v>
      </c>
      <c r="J27" s="25">
        <v>1020.2</v>
      </c>
      <c r="K27" s="25">
        <v>982.63768000000005</v>
      </c>
      <c r="L27" s="25">
        <v>1954.6</v>
      </c>
      <c r="M27" s="25">
        <v>1952.19875</v>
      </c>
      <c r="N27" s="25">
        <v>2513.9</v>
      </c>
      <c r="O27" s="25">
        <v>2513.84611</v>
      </c>
      <c r="P27" s="25">
        <v>4283.8999999999996</v>
      </c>
      <c r="Q27" s="25">
        <v>4239.5389800000003</v>
      </c>
      <c r="R27" s="25">
        <v>2513.9</v>
      </c>
      <c r="S27" s="25">
        <v>2513.9</v>
      </c>
      <c r="T27" s="75" t="s">
        <v>747</v>
      </c>
    </row>
    <row r="28" spans="1:20" s="15" customFormat="1" ht="54.75" customHeight="1">
      <c r="A28" s="110"/>
      <c r="B28" s="109" t="s">
        <v>84</v>
      </c>
      <c r="C28" s="110"/>
      <c r="D28" s="23" t="s">
        <v>59</v>
      </c>
      <c r="E28" s="24" t="s">
        <v>61</v>
      </c>
      <c r="F28" s="24" t="s">
        <v>85</v>
      </c>
      <c r="G28" s="24" t="s">
        <v>573</v>
      </c>
      <c r="H28" s="25">
        <f>4202.08518+731.94137</f>
        <v>4934.0265500000005</v>
      </c>
      <c r="I28" s="25">
        <f>4033.18518+731.94137</f>
        <v>4765.12655</v>
      </c>
      <c r="J28" s="25">
        <f>434.10359+383.33341</f>
        <v>817.43700000000001</v>
      </c>
      <c r="K28" s="25">
        <f>434.10359+383.33341</f>
        <v>817.43700000000001</v>
      </c>
      <c r="L28" s="25">
        <f>1703.70159+383.33341</f>
        <v>2087.0349999999999</v>
      </c>
      <c r="M28" s="25">
        <f>1703.70159+383.33341</f>
        <v>2087.0349999999999</v>
      </c>
      <c r="N28" s="25">
        <f>2911.70159+383.33341</f>
        <v>3295.0350000000003</v>
      </c>
      <c r="O28" s="25">
        <f>2911.70159+383.33341</f>
        <v>3295.0350000000003</v>
      </c>
      <c r="P28" s="25">
        <f>4441.26659+383.33341</f>
        <v>4824.6000000000004</v>
      </c>
      <c r="Q28" s="25">
        <f>4441.26659+383.33341</f>
        <v>4824.6000000000004</v>
      </c>
      <c r="R28" s="25"/>
      <c r="S28" s="25"/>
      <c r="T28" s="75"/>
    </row>
    <row r="29" spans="1:20" s="15" customFormat="1" ht="54.75" customHeight="1">
      <c r="A29" s="110"/>
      <c r="B29" s="111"/>
      <c r="C29" s="110"/>
      <c r="D29" s="23" t="s">
        <v>59</v>
      </c>
      <c r="E29" s="24" t="s">
        <v>64</v>
      </c>
      <c r="F29" s="24" t="s">
        <v>85</v>
      </c>
      <c r="G29" s="24" t="s">
        <v>63</v>
      </c>
      <c r="H29" s="25">
        <f>38.77345</f>
        <v>38.773449999999997</v>
      </c>
      <c r="I29" s="25">
        <f>38.77345</f>
        <v>38.773449999999997</v>
      </c>
      <c r="J29" s="25"/>
      <c r="K29" s="25"/>
      <c r="L29" s="25"/>
      <c r="M29" s="25"/>
      <c r="N29" s="25"/>
      <c r="O29" s="25"/>
      <c r="P29" s="25"/>
      <c r="Q29" s="25"/>
      <c r="R29" s="25"/>
      <c r="S29" s="25"/>
      <c r="T29" s="73"/>
    </row>
    <row r="30" spans="1:20" s="15" customFormat="1" ht="39.75" customHeight="1">
      <c r="A30" s="110"/>
      <c r="B30" s="11" t="s">
        <v>86</v>
      </c>
      <c r="C30" s="110"/>
      <c r="D30" s="23" t="s">
        <v>59</v>
      </c>
      <c r="E30" s="24" t="s">
        <v>61</v>
      </c>
      <c r="F30" s="24" t="s">
        <v>87</v>
      </c>
      <c r="G30" s="24" t="s">
        <v>63</v>
      </c>
      <c r="H30" s="25">
        <v>1000</v>
      </c>
      <c r="I30" s="25">
        <v>945.96</v>
      </c>
      <c r="J30" s="25"/>
      <c r="K30" s="25"/>
      <c r="L30" s="25"/>
      <c r="M30" s="25"/>
      <c r="N30" s="25"/>
      <c r="O30" s="25"/>
      <c r="P30" s="25"/>
      <c r="Q30" s="25"/>
      <c r="R30" s="25"/>
      <c r="S30" s="25"/>
      <c r="T30" s="74"/>
    </row>
    <row r="31" spans="1:20" s="15" customFormat="1" ht="88.5" customHeight="1">
      <c r="A31" s="110"/>
      <c r="B31" s="11" t="s">
        <v>88</v>
      </c>
      <c r="C31" s="110"/>
      <c r="D31" s="23" t="s">
        <v>59</v>
      </c>
      <c r="E31" s="24" t="s">
        <v>64</v>
      </c>
      <c r="F31" s="24" t="s">
        <v>89</v>
      </c>
      <c r="G31" s="24" t="s">
        <v>573</v>
      </c>
      <c r="H31" s="25">
        <v>6134.1837400000004</v>
      </c>
      <c r="I31" s="25">
        <v>6134.1837400000004</v>
      </c>
      <c r="J31" s="25"/>
      <c r="K31" s="25"/>
      <c r="L31" s="25"/>
      <c r="M31" s="25"/>
      <c r="N31" s="25">
        <v>10578.79385</v>
      </c>
      <c r="O31" s="25">
        <v>10578.79385</v>
      </c>
      <c r="P31" s="25">
        <v>11175</v>
      </c>
      <c r="Q31" s="25">
        <v>11174.89594</v>
      </c>
      <c r="R31" s="25"/>
      <c r="S31" s="25"/>
      <c r="T31" s="73"/>
    </row>
    <row r="32" spans="1:20" s="15" customFormat="1" ht="82.5" customHeight="1">
      <c r="A32" s="110"/>
      <c r="B32" s="109" t="s">
        <v>90</v>
      </c>
      <c r="C32" s="110"/>
      <c r="D32" s="23" t="s">
        <v>59</v>
      </c>
      <c r="E32" s="24" t="s">
        <v>64</v>
      </c>
      <c r="F32" s="24" t="s">
        <v>91</v>
      </c>
      <c r="G32" s="24" t="s">
        <v>574</v>
      </c>
      <c r="H32" s="25">
        <v>179300.851</v>
      </c>
      <c r="I32" s="25">
        <v>179300.851</v>
      </c>
      <c r="J32" s="25">
        <f>34331.43831+83.56</f>
        <v>34414.998309999995</v>
      </c>
      <c r="K32" s="25">
        <f>34331.43831+56.72</f>
        <v>34388.158309999999</v>
      </c>
      <c r="L32" s="25">
        <f>107960.20483+305.102</f>
        <v>108265.30683</v>
      </c>
      <c r="M32" s="25">
        <f>107960.20483+305.102</f>
        <v>108265.30683</v>
      </c>
      <c r="N32" s="25">
        <f>125786.069+1515.573</f>
        <v>127301.64200000001</v>
      </c>
      <c r="O32" s="25">
        <f>125786.069+1515.573</f>
        <v>127301.64200000001</v>
      </c>
      <c r="P32" s="25">
        <f>179151.573+1711.065</f>
        <v>180862.63800000001</v>
      </c>
      <c r="Q32" s="25">
        <f>179151.573+1711.065</f>
        <v>180862.63800000001</v>
      </c>
      <c r="R32" s="25">
        <f>183063.833+1675.505</f>
        <v>184739.33800000002</v>
      </c>
      <c r="S32" s="25">
        <f>183063.833+1675.505</f>
        <v>184739.33800000002</v>
      </c>
      <c r="T32" s="73"/>
    </row>
    <row r="33" spans="1:20" s="15" customFormat="1" ht="82.5" customHeight="1">
      <c r="A33" s="110"/>
      <c r="B33" s="111"/>
      <c r="C33" s="110"/>
      <c r="D33" s="23" t="s">
        <v>59</v>
      </c>
      <c r="E33" s="24" t="s">
        <v>64</v>
      </c>
      <c r="F33" s="24" t="s">
        <v>91</v>
      </c>
      <c r="G33" s="24" t="s">
        <v>578</v>
      </c>
      <c r="H33" s="25">
        <v>16403.848999999998</v>
      </c>
      <c r="I33" s="25">
        <v>16403.848999999998</v>
      </c>
      <c r="J33" s="25">
        <v>2910.4176900000002</v>
      </c>
      <c r="K33" s="25">
        <f>2910.41769</f>
        <v>2910.4176900000002</v>
      </c>
      <c r="L33" s="25">
        <v>10076.29617</v>
      </c>
      <c r="M33" s="25">
        <f>10076.29617</f>
        <v>10076.29617</v>
      </c>
      <c r="N33" s="25">
        <f>11823.054+155</f>
        <v>11978.054</v>
      </c>
      <c r="O33" s="25">
        <f>11823.054+155</f>
        <v>11978.054</v>
      </c>
      <c r="P33" s="25">
        <f>16351.462+155</f>
        <v>16506.462</v>
      </c>
      <c r="Q33" s="25">
        <f>16351.462+155</f>
        <v>16506.462</v>
      </c>
      <c r="R33" s="25">
        <f>16533.062+155</f>
        <v>16688.062000000002</v>
      </c>
      <c r="S33" s="25">
        <f>16533.062+155</f>
        <v>16688.062000000002</v>
      </c>
      <c r="T33" s="73"/>
    </row>
    <row r="34" spans="1:20" s="15" customFormat="1" ht="46.5" customHeight="1">
      <c r="A34" s="110"/>
      <c r="B34" s="109" t="s">
        <v>92</v>
      </c>
      <c r="C34" s="110"/>
      <c r="D34" s="23" t="s">
        <v>59</v>
      </c>
      <c r="E34" s="24" t="s">
        <v>78</v>
      </c>
      <c r="F34" s="24" t="s">
        <v>93</v>
      </c>
      <c r="G34" s="24" t="s">
        <v>573</v>
      </c>
      <c r="H34" s="25">
        <v>8650.1139999999996</v>
      </c>
      <c r="I34" s="25">
        <v>6095.8724400000001</v>
      </c>
      <c r="J34" s="25">
        <v>1300</v>
      </c>
      <c r="K34" s="25">
        <v>1300</v>
      </c>
      <c r="L34" s="25">
        <v>3033.8462199999999</v>
      </c>
      <c r="M34" s="25">
        <v>3033.8462199999999</v>
      </c>
      <c r="N34" s="25">
        <v>3498.8462199999999</v>
      </c>
      <c r="O34" s="25">
        <f>3498.84622</f>
        <v>3498.8462199999999</v>
      </c>
      <c r="P34" s="25">
        <v>8051.8620000000001</v>
      </c>
      <c r="Q34" s="25">
        <v>6018.8462200000004</v>
      </c>
      <c r="R34" s="25">
        <v>10128.433999999999</v>
      </c>
      <c r="S34" s="25">
        <v>10128.433999999999</v>
      </c>
      <c r="T34" s="124" t="s">
        <v>748</v>
      </c>
    </row>
    <row r="35" spans="1:20" s="15" customFormat="1" ht="46.5" customHeight="1">
      <c r="A35" s="110"/>
      <c r="B35" s="111"/>
      <c r="C35" s="110"/>
      <c r="D35" s="23" t="s">
        <v>59</v>
      </c>
      <c r="E35" s="24" t="s">
        <v>78</v>
      </c>
      <c r="F35" s="24" t="s">
        <v>93</v>
      </c>
      <c r="G35" s="24" t="s">
        <v>579</v>
      </c>
      <c r="H35" s="25">
        <v>814.58600000000001</v>
      </c>
      <c r="I35" s="25">
        <v>595.56150000000002</v>
      </c>
      <c r="J35" s="25">
        <v>110</v>
      </c>
      <c r="K35" s="25">
        <v>110</v>
      </c>
      <c r="L35" s="25">
        <v>326.15377999999998</v>
      </c>
      <c r="M35" s="25">
        <v>326.15377999999998</v>
      </c>
      <c r="N35" s="25">
        <v>361.15377999999998</v>
      </c>
      <c r="O35" s="25">
        <v>361.15377999999998</v>
      </c>
      <c r="P35" s="25">
        <v>959.13800000000003</v>
      </c>
      <c r="Q35" s="25">
        <v>741.15377999999998</v>
      </c>
      <c r="R35" s="25">
        <v>1277.6659999999999</v>
      </c>
      <c r="S35" s="25">
        <v>1277.6659999999999</v>
      </c>
      <c r="T35" s="126"/>
    </row>
    <row r="36" spans="1:20" s="15" customFormat="1" ht="57" customHeight="1">
      <c r="A36" s="110"/>
      <c r="B36" s="11" t="s">
        <v>94</v>
      </c>
      <c r="C36" s="110"/>
      <c r="D36" s="23" t="s">
        <v>59</v>
      </c>
      <c r="E36" s="24" t="s">
        <v>64</v>
      </c>
      <c r="F36" s="24" t="s">
        <v>95</v>
      </c>
      <c r="G36" s="24" t="s">
        <v>63</v>
      </c>
      <c r="H36" s="25">
        <v>500</v>
      </c>
      <c r="I36" s="25">
        <v>500</v>
      </c>
      <c r="J36" s="25"/>
      <c r="K36" s="25"/>
      <c r="L36" s="25"/>
      <c r="M36" s="25"/>
      <c r="N36" s="25"/>
      <c r="O36" s="25"/>
      <c r="P36" s="25"/>
      <c r="Q36" s="25"/>
      <c r="R36" s="25"/>
      <c r="S36" s="25"/>
      <c r="T36" s="73"/>
    </row>
    <row r="37" spans="1:20" s="15" customFormat="1" ht="42" customHeight="1">
      <c r="A37" s="110"/>
      <c r="B37" s="109" t="s">
        <v>96</v>
      </c>
      <c r="C37" s="110"/>
      <c r="D37" s="23" t="s">
        <v>59</v>
      </c>
      <c r="E37" s="24" t="s">
        <v>75</v>
      </c>
      <c r="F37" s="24" t="s">
        <v>97</v>
      </c>
      <c r="G37" s="24" t="s">
        <v>573</v>
      </c>
      <c r="H37" s="25">
        <v>1336.03</v>
      </c>
      <c r="I37" s="25">
        <v>1324.058</v>
      </c>
      <c r="J37" s="25"/>
      <c r="K37" s="25"/>
      <c r="L37" s="25">
        <v>1325.4929999999999</v>
      </c>
      <c r="M37" s="25">
        <v>1325.4929999999999</v>
      </c>
      <c r="N37" s="25">
        <v>1325.4929999999999</v>
      </c>
      <c r="O37" s="25">
        <v>1325.4929999999999</v>
      </c>
      <c r="P37" s="25">
        <v>1325.4929999999999</v>
      </c>
      <c r="Q37" s="25">
        <v>1325.4929999999999</v>
      </c>
      <c r="R37" s="25">
        <v>1325.4929999999999</v>
      </c>
      <c r="S37" s="25">
        <v>1325.4929999999999</v>
      </c>
      <c r="T37" s="75"/>
    </row>
    <row r="38" spans="1:20" s="15" customFormat="1" ht="36" customHeight="1">
      <c r="A38" s="110"/>
      <c r="B38" s="111"/>
      <c r="C38" s="110"/>
      <c r="D38" s="23" t="s">
        <v>59</v>
      </c>
      <c r="E38" s="24" t="s">
        <v>75</v>
      </c>
      <c r="F38" s="24" t="s">
        <v>97</v>
      </c>
      <c r="G38" s="24" t="s">
        <v>579</v>
      </c>
      <c r="H38" s="25">
        <v>104.37</v>
      </c>
      <c r="I38" s="25">
        <v>104.37</v>
      </c>
      <c r="J38" s="25"/>
      <c r="K38" s="25"/>
      <c r="L38" s="25">
        <v>114.807</v>
      </c>
      <c r="M38" s="25">
        <v>114.807</v>
      </c>
      <c r="N38" s="25">
        <v>114.807</v>
      </c>
      <c r="O38" s="25">
        <v>114.807</v>
      </c>
      <c r="P38" s="25">
        <v>114.807</v>
      </c>
      <c r="Q38" s="25">
        <v>114.807</v>
      </c>
      <c r="R38" s="25">
        <v>114.807</v>
      </c>
      <c r="S38" s="25">
        <v>114.807</v>
      </c>
      <c r="T38" s="73"/>
    </row>
    <row r="39" spans="1:20" s="15" customFormat="1" ht="130.5" customHeight="1">
      <c r="A39" s="110"/>
      <c r="B39" s="11" t="s">
        <v>98</v>
      </c>
      <c r="C39" s="110"/>
      <c r="D39" s="23" t="s">
        <v>59</v>
      </c>
      <c r="E39" s="24" t="s">
        <v>75</v>
      </c>
      <c r="F39" s="24" t="s">
        <v>99</v>
      </c>
      <c r="G39" s="24" t="s">
        <v>573</v>
      </c>
      <c r="H39" s="25">
        <v>222.3</v>
      </c>
      <c r="I39" s="25">
        <v>113.79205</v>
      </c>
      <c r="J39" s="25"/>
      <c r="K39" s="25"/>
      <c r="L39" s="25">
        <v>18.862649999999999</v>
      </c>
      <c r="M39" s="25">
        <v>18.862649999999999</v>
      </c>
      <c r="N39" s="25">
        <v>303.60000000000002</v>
      </c>
      <c r="O39" s="25">
        <v>303.59965</v>
      </c>
      <c r="P39" s="25">
        <v>303.60000000000002</v>
      </c>
      <c r="Q39" s="25">
        <v>242.53584000000001</v>
      </c>
      <c r="R39" s="25"/>
      <c r="S39" s="25"/>
      <c r="T39" s="75" t="s">
        <v>749</v>
      </c>
    </row>
    <row r="40" spans="1:20" s="15" customFormat="1" ht="84">
      <c r="A40" s="110"/>
      <c r="B40" s="11" t="s">
        <v>100</v>
      </c>
      <c r="C40" s="110"/>
      <c r="D40" s="23" t="s">
        <v>59</v>
      </c>
      <c r="E40" s="24" t="s">
        <v>75</v>
      </c>
      <c r="F40" s="24" t="s">
        <v>101</v>
      </c>
      <c r="G40" s="24" t="s">
        <v>574</v>
      </c>
      <c r="H40" s="25">
        <v>1762.6</v>
      </c>
      <c r="I40" s="25">
        <v>1623.1866</v>
      </c>
      <c r="J40" s="25"/>
      <c r="K40" s="25"/>
      <c r="L40" s="25">
        <f>809.064+107.8</f>
        <v>916.86399999999992</v>
      </c>
      <c r="M40" s="25">
        <f>809.064+107.8</f>
        <v>916.86399999999992</v>
      </c>
      <c r="N40" s="25">
        <f>1759.115+118.685</f>
        <v>1877.8</v>
      </c>
      <c r="O40" s="25">
        <f>1759.115+118.685</f>
        <v>1877.8</v>
      </c>
      <c r="P40" s="25">
        <f>1759.115+118.685</f>
        <v>1877.8</v>
      </c>
      <c r="Q40" s="25">
        <f>1595.45875+118.685</f>
        <v>1714.14375</v>
      </c>
      <c r="R40" s="25">
        <f>1493.5+300</f>
        <v>1793.5</v>
      </c>
      <c r="S40" s="25">
        <f>1493.5+300</f>
        <v>1793.5</v>
      </c>
      <c r="T40" s="75" t="s">
        <v>750</v>
      </c>
    </row>
    <row r="41" spans="1:20" s="15" customFormat="1" ht="156" customHeight="1">
      <c r="A41" s="110"/>
      <c r="B41" s="11" t="s">
        <v>102</v>
      </c>
      <c r="C41" s="110"/>
      <c r="D41" s="23" t="s">
        <v>59</v>
      </c>
      <c r="E41" s="24" t="s">
        <v>61</v>
      </c>
      <c r="F41" s="24" t="s">
        <v>103</v>
      </c>
      <c r="G41" s="24" t="s">
        <v>574</v>
      </c>
      <c r="H41" s="25">
        <v>72157.7</v>
      </c>
      <c r="I41" s="25">
        <v>72157.627999999997</v>
      </c>
      <c r="J41" s="25">
        <v>14707.968000000001</v>
      </c>
      <c r="K41" s="25">
        <v>14707.968000000001</v>
      </c>
      <c r="L41" s="25">
        <f>35311.612+36.614</f>
        <v>35348.226000000002</v>
      </c>
      <c r="M41" s="25">
        <f>35311.612+36.614</f>
        <v>35348.226000000002</v>
      </c>
      <c r="N41" s="25">
        <f>54668.567+631.573</f>
        <v>55300.14</v>
      </c>
      <c r="O41" s="25">
        <f>54668.567+631.573</f>
        <v>55300.14</v>
      </c>
      <c r="P41" s="25">
        <f>76550.348+747.752</f>
        <v>77298.099999999991</v>
      </c>
      <c r="Q41" s="25">
        <f>76550.348+747.752</f>
        <v>77298.099999999991</v>
      </c>
      <c r="R41" s="25">
        <f>75993.6+689</f>
        <v>76682.600000000006</v>
      </c>
      <c r="S41" s="25">
        <f>75993.6+689</f>
        <v>76682.600000000006</v>
      </c>
      <c r="T41" s="75"/>
    </row>
    <row r="42" spans="1:20" s="15" customFormat="1" ht="104.25" customHeight="1">
      <c r="A42" s="110"/>
      <c r="B42" s="46" t="s">
        <v>581</v>
      </c>
      <c r="C42" s="110"/>
      <c r="D42" s="23" t="s">
        <v>59</v>
      </c>
      <c r="E42" s="24" t="s">
        <v>61</v>
      </c>
      <c r="F42" s="24" t="s">
        <v>580</v>
      </c>
      <c r="G42" s="24" t="s">
        <v>573</v>
      </c>
      <c r="H42" s="25"/>
      <c r="I42" s="25"/>
      <c r="J42" s="25"/>
      <c r="K42" s="25"/>
      <c r="L42" s="25"/>
      <c r="M42" s="25"/>
      <c r="N42" s="25"/>
      <c r="O42" s="25"/>
      <c r="P42" s="25">
        <v>993.66800000000001</v>
      </c>
      <c r="Q42" s="25">
        <v>993.66800000000001</v>
      </c>
      <c r="R42" s="25"/>
      <c r="S42" s="25"/>
      <c r="T42" s="75"/>
    </row>
    <row r="43" spans="1:20" s="15" customFormat="1" ht="91.5" customHeight="1">
      <c r="A43" s="110"/>
      <c r="B43" s="11" t="s">
        <v>104</v>
      </c>
      <c r="C43" s="110"/>
      <c r="D43" s="23" t="s">
        <v>59</v>
      </c>
      <c r="E43" s="24" t="s">
        <v>64</v>
      </c>
      <c r="F43" s="24" t="s">
        <v>105</v>
      </c>
      <c r="G43" s="24" t="s">
        <v>63</v>
      </c>
      <c r="H43" s="25">
        <v>7217.8209999999999</v>
      </c>
      <c r="I43" s="25">
        <v>7217.8209999999999</v>
      </c>
      <c r="J43" s="25"/>
      <c r="K43" s="25"/>
      <c r="L43" s="25"/>
      <c r="M43" s="25"/>
      <c r="N43" s="25"/>
      <c r="O43" s="25"/>
      <c r="P43" s="25"/>
      <c r="Q43" s="25"/>
      <c r="R43" s="25"/>
      <c r="S43" s="25"/>
      <c r="T43" s="73"/>
    </row>
    <row r="44" spans="1:20" s="15" customFormat="1" ht="24" customHeight="1">
      <c r="A44" s="110"/>
      <c r="B44" s="127" t="s">
        <v>40</v>
      </c>
      <c r="C44" s="110"/>
      <c r="D44" s="23" t="s">
        <v>59</v>
      </c>
      <c r="E44" s="24" t="s">
        <v>61</v>
      </c>
      <c r="F44" s="24" t="s">
        <v>106</v>
      </c>
      <c r="G44" s="24" t="s">
        <v>570</v>
      </c>
      <c r="H44" s="25">
        <v>63073.240969999999</v>
      </c>
      <c r="I44" s="25">
        <v>62808.134619999997</v>
      </c>
      <c r="J44" s="25">
        <v>16085.42668</v>
      </c>
      <c r="K44" s="25">
        <v>16062.68816</v>
      </c>
      <c r="L44" s="25">
        <v>33443.637869999999</v>
      </c>
      <c r="M44" s="25">
        <v>33443.637869999999</v>
      </c>
      <c r="N44" s="25">
        <v>47964.393770000002</v>
      </c>
      <c r="O44" s="25">
        <v>47964.393770000002</v>
      </c>
      <c r="P44" s="25">
        <v>66528.180779999995</v>
      </c>
      <c r="Q44" s="25">
        <v>66483.927729999996</v>
      </c>
      <c r="R44" s="25">
        <v>66188.555999999997</v>
      </c>
      <c r="S44" s="25">
        <v>66188.555999999997</v>
      </c>
      <c r="T44" s="124" t="s">
        <v>751</v>
      </c>
    </row>
    <row r="45" spans="1:20" s="15" customFormat="1" ht="21.75" customHeight="1">
      <c r="A45" s="110"/>
      <c r="B45" s="128"/>
      <c r="C45" s="110"/>
      <c r="D45" s="23" t="s">
        <v>59</v>
      </c>
      <c r="E45" s="24" t="s">
        <v>64</v>
      </c>
      <c r="F45" s="24" t="s">
        <v>106</v>
      </c>
      <c r="G45" s="24" t="s">
        <v>570</v>
      </c>
      <c r="H45" s="25">
        <v>125427.60652</v>
      </c>
      <c r="I45" s="25">
        <v>125256.75916</v>
      </c>
      <c r="J45" s="25">
        <v>35045.388169999998</v>
      </c>
      <c r="K45" s="25">
        <v>35019.323629999999</v>
      </c>
      <c r="L45" s="25">
        <v>76641.396680000005</v>
      </c>
      <c r="M45" s="25">
        <v>76641.396680000005</v>
      </c>
      <c r="N45" s="25">
        <v>93811.497650000005</v>
      </c>
      <c r="O45" s="25">
        <v>93811.497650000005</v>
      </c>
      <c r="P45" s="25">
        <v>132186.61734999999</v>
      </c>
      <c r="Q45" s="25">
        <v>131954.57451000001</v>
      </c>
      <c r="R45" s="25">
        <f>109173.6+23252.377</f>
        <v>132425.97700000001</v>
      </c>
      <c r="S45" s="25">
        <f>109173.6+23252.377</f>
        <v>132425.97700000001</v>
      </c>
      <c r="T45" s="125"/>
    </row>
    <row r="46" spans="1:20" s="15" customFormat="1" ht="21.75" customHeight="1">
      <c r="A46" s="110"/>
      <c r="B46" s="129"/>
      <c r="C46" s="110"/>
      <c r="D46" s="23" t="s">
        <v>59</v>
      </c>
      <c r="E46" s="24" t="s">
        <v>64</v>
      </c>
      <c r="F46" s="24" t="s">
        <v>106</v>
      </c>
      <c r="G46" s="24" t="s">
        <v>571</v>
      </c>
      <c r="H46" s="25">
        <v>9076.0390000000007</v>
      </c>
      <c r="I46" s="25">
        <v>9076.0390000000007</v>
      </c>
      <c r="J46" s="25">
        <v>2789.6837500000001</v>
      </c>
      <c r="K46" s="25">
        <v>2789.6837500000001</v>
      </c>
      <c r="L46" s="25">
        <v>5966.3590000000004</v>
      </c>
      <c r="M46" s="25">
        <v>5966.3590000000004</v>
      </c>
      <c r="N46" s="25">
        <v>7091.6294399999997</v>
      </c>
      <c r="O46" s="25">
        <v>7091.6294399999997</v>
      </c>
      <c r="P46" s="25">
        <v>9777.8680000000004</v>
      </c>
      <c r="Q46" s="25">
        <v>9737.41129</v>
      </c>
      <c r="R46" s="25">
        <v>9728.8230000000003</v>
      </c>
      <c r="S46" s="25">
        <v>9728.8230000000003</v>
      </c>
      <c r="T46" s="126"/>
    </row>
    <row r="47" spans="1:20" s="15" customFormat="1" ht="21.75" customHeight="1">
      <c r="A47" s="110"/>
      <c r="B47" s="127" t="s">
        <v>39</v>
      </c>
      <c r="C47" s="110"/>
      <c r="D47" s="23" t="s">
        <v>59</v>
      </c>
      <c r="E47" s="24" t="s">
        <v>61</v>
      </c>
      <c r="F47" s="24" t="s">
        <v>107</v>
      </c>
      <c r="G47" s="24" t="s">
        <v>573</v>
      </c>
      <c r="H47" s="25">
        <v>3058.7955000000002</v>
      </c>
      <c r="I47" s="25">
        <v>1440.653</v>
      </c>
      <c r="J47" s="25">
        <v>0.67500000000000004</v>
      </c>
      <c r="K47" s="25">
        <v>0.67500000000000004</v>
      </c>
      <c r="L47" s="25">
        <v>327.46395999999999</v>
      </c>
      <c r="M47" s="25">
        <v>327.46395999999999</v>
      </c>
      <c r="N47" s="25">
        <v>2600.99496</v>
      </c>
      <c r="O47" s="25">
        <v>2600.99496</v>
      </c>
      <c r="P47" s="25">
        <v>3120.7809099999999</v>
      </c>
      <c r="Q47" s="25">
        <v>3120.7809099999999</v>
      </c>
      <c r="R47" s="25">
        <v>392</v>
      </c>
      <c r="S47" s="25">
        <v>392</v>
      </c>
      <c r="T47" s="124"/>
    </row>
    <row r="48" spans="1:20" s="15" customFormat="1" ht="21.75" customHeight="1">
      <c r="A48" s="110"/>
      <c r="B48" s="128"/>
      <c r="C48" s="110"/>
      <c r="D48" s="23" t="s">
        <v>59</v>
      </c>
      <c r="E48" s="24" t="s">
        <v>64</v>
      </c>
      <c r="F48" s="24" t="s">
        <v>107</v>
      </c>
      <c r="G48" s="24" t="s">
        <v>573</v>
      </c>
      <c r="H48" s="25">
        <v>8266.5663999999997</v>
      </c>
      <c r="I48" s="25">
        <v>6483.5079599999999</v>
      </c>
      <c r="J48" s="25">
        <v>8</v>
      </c>
      <c r="K48" s="25">
        <v>8</v>
      </c>
      <c r="L48" s="25">
        <v>421.20972</v>
      </c>
      <c r="M48" s="25">
        <v>421.20972</v>
      </c>
      <c r="N48" s="25">
        <v>4661.27268</v>
      </c>
      <c r="O48" s="25">
        <v>4661.27268</v>
      </c>
      <c r="P48" s="25">
        <v>5307.09944</v>
      </c>
      <c r="Q48" s="25">
        <v>5307.09944</v>
      </c>
      <c r="R48" s="25">
        <v>442.5</v>
      </c>
      <c r="S48" s="25">
        <v>442.5</v>
      </c>
      <c r="T48" s="125"/>
    </row>
    <row r="49" spans="1:20" s="15" customFormat="1" ht="21.75" customHeight="1">
      <c r="A49" s="110"/>
      <c r="B49" s="129"/>
      <c r="C49" s="110"/>
      <c r="D49" s="23" t="s">
        <v>59</v>
      </c>
      <c r="E49" s="24" t="s">
        <v>64</v>
      </c>
      <c r="F49" s="24" t="s">
        <v>107</v>
      </c>
      <c r="G49" s="24" t="s">
        <v>579</v>
      </c>
      <c r="H49" s="25">
        <v>543</v>
      </c>
      <c r="I49" s="25">
        <v>389</v>
      </c>
      <c r="J49" s="25"/>
      <c r="K49" s="25"/>
      <c r="L49" s="25">
        <v>35.954999999999998</v>
      </c>
      <c r="M49" s="25">
        <v>35.954999999999998</v>
      </c>
      <c r="N49" s="25">
        <v>282.30374999999998</v>
      </c>
      <c r="O49" s="25">
        <v>282.30374999999998</v>
      </c>
      <c r="P49" s="25">
        <v>362.11975000000001</v>
      </c>
      <c r="Q49" s="25">
        <v>362.11975000000001</v>
      </c>
      <c r="R49" s="25">
        <v>20</v>
      </c>
      <c r="S49" s="25">
        <v>20</v>
      </c>
      <c r="T49" s="126"/>
    </row>
    <row r="50" spans="1:20" s="15" customFormat="1" ht="33" customHeight="1">
      <c r="A50" s="110"/>
      <c r="B50" s="109" t="s">
        <v>108</v>
      </c>
      <c r="C50" s="110"/>
      <c r="D50" s="23" t="s">
        <v>59</v>
      </c>
      <c r="E50" s="24" t="s">
        <v>109</v>
      </c>
      <c r="F50" s="24" t="s">
        <v>110</v>
      </c>
      <c r="G50" s="24" t="s">
        <v>573</v>
      </c>
      <c r="H50" s="25">
        <v>590.07100000000003</v>
      </c>
      <c r="I50" s="25">
        <v>425.02100000000002</v>
      </c>
      <c r="J50" s="25">
        <v>127.2</v>
      </c>
      <c r="K50" s="25">
        <v>127.2</v>
      </c>
      <c r="L50" s="25">
        <v>396.72</v>
      </c>
      <c r="M50" s="25">
        <v>396.72</v>
      </c>
      <c r="N50" s="25">
        <v>396.72</v>
      </c>
      <c r="O50" s="25">
        <v>396.72</v>
      </c>
      <c r="P50" s="25">
        <v>765.05</v>
      </c>
      <c r="Q50" s="25">
        <v>765.05</v>
      </c>
      <c r="R50" s="25">
        <v>600</v>
      </c>
      <c r="S50" s="25">
        <v>600</v>
      </c>
      <c r="T50" s="124"/>
    </row>
    <row r="51" spans="1:20" s="15" customFormat="1" ht="33" customHeight="1">
      <c r="A51" s="110"/>
      <c r="B51" s="111"/>
      <c r="C51" s="110"/>
      <c r="D51" s="23" t="s">
        <v>59</v>
      </c>
      <c r="E51" s="24" t="s">
        <v>109</v>
      </c>
      <c r="F51" s="24" t="s">
        <v>110</v>
      </c>
      <c r="G51" s="24" t="s">
        <v>579</v>
      </c>
      <c r="H51" s="25">
        <v>9.9290000000000003</v>
      </c>
      <c r="I51" s="25">
        <v>0</v>
      </c>
      <c r="J51" s="25"/>
      <c r="K51" s="25"/>
      <c r="L51" s="25"/>
      <c r="M51" s="25"/>
      <c r="N51" s="25"/>
      <c r="O51" s="25"/>
      <c r="P51" s="25">
        <v>9.9290000000000003</v>
      </c>
      <c r="Q51" s="25">
        <v>9.9290000000000003</v>
      </c>
      <c r="R51" s="25"/>
      <c r="S51" s="25"/>
      <c r="T51" s="126"/>
    </row>
    <row r="52" spans="1:20" s="15" customFormat="1" ht="64.5" customHeight="1">
      <c r="A52" s="110"/>
      <c r="B52" s="10" t="s">
        <v>111</v>
      </c>
      <c r="C52" s="110"/>
      <c r="D52" s="23" t="s">
        <v>59</v>
      </c>
      <c r="E52" s="24" t="s">
        <v>75</v>
      </c>
      <c r="F52" s="24" t="s">
        <v>112</v>
      </c>
      <c r="G52" s="24" t="s">
        <v>573</v>
      </c>
      <c r="H52" s="25">
        <v>541.54</v>
      </c>
      <c r="I52" s="25">
        <v>461.53924000000001</v>
      </c>
      <c r="J52" s="25"/>
      <c r="K52" s="25"/>
      <c r="L52" s="25">
        <v>412.08076</v>
      </c>
      <c r="M52" s="25">
        <v>412.08076</v>
      </c>
      <c r="N52" s="25">
        <v>447.80596000000003</v>
      </c>
      <c r="O52" s="25">
        <v>447.80596000000003</v>
      </c>
      <c r="P52" s="25">
        <v>489.851</v>
      </c>
      <c r="Q52" s="25">
        <v>489.851</v>
      </c>
      <c r="R52" s="25">
        <v>541.5</v>
      </c>
      <c r="S52" s="25">
        <v>541.5</v>
      </c>
      <c r="T52" s="75"/>
    </row>
    <row r="53" spans="1:20" s="15" customFormat="1" ht="28.5" customHeight="1">
      <c r="A53" s="110"/>
      <c r="B53" s="109" t="s">
        <v>113</v>
      </c>
      <c r="C53" s="110"/>
      <c r="D53" s="23" t="s">
        <v>59</v>
      </c>
      <c r="E53" s="24" t="s">
        <v>61</v>
      </c>
      <c r="F53" s="24" t="s">
        <v>114</v>
      </c>
      <c r="G53" s="24" t="s">
        <v>573</v>
      </c>
      <c r="H53" s="25"/>
      <c r="I53" s="25"/>
      <c r="J53" s="25"/>
      <c r="K53" s="25"/>
      <c r="L53" s="25">
        <v>219.3</v>
      </c>
      <c r="M53" s="25">
        <v>219.3</v>
      </c>
      <c r="N53" s="25">
        <v>219.3</v>
      </c>
      <c r="O53" s="25">
        <v>219.3</v>
      </c>
      <c r="P53" s="25">
        <v>219.3</v>
      </c>
      <c r="Q53" s="25">
        <v>219.3</v>
      </c>
      <c r="R53" s="25">
        <v>219.3</v>
      </c>
      <c r="S53" s="25">
        <v>219.3</v>
      </c>
      <c r="T53" s="75"/>
    </row>
    <row r="54" spans="1:20" s="15" customFormat="1" ht="28.5" customHeight="1">
      <c r="A54" s="110"/>
      <c r="B54" s="130"/>
      <c r="C54" s="110"/>
      <c r="D54" s="23" t="s">
        <v>59</v>
      </c>
      <c r="E54" s="24" t="s">
        <v>64</v>
      </c>
      <c r="F54" s="24" t="s">
        <v>114</v>
      </c>
      <c r="G54" s="24" t="s">
        <v>573</v>
      </c>
      <c r="H54" s="25">
        <v>10.416</v>
      </c>
      <c r="I54" s="25">
        <v>10.416</v>
      </c>
      <c r="J54" s="25"/>
      <c r="K54" s="25"/>
      <c r="L54" s="25">
        <v>48.84</v>
      </c>
      <c r="M54" s="25">
        <v>48.84</v>
      </c>
      <c r="N54" s="25">
        <v>48.84</v>
      </c>
      <c r="O54" s="25">
        <v>48.84</v>
      </c>
      <c r="P54" s="25">
        <v>48.84</v>
      </c>
      <c r="Q54" s="25">
        <v>48.84</v>
      </c>
      <c r="R54" s="25">
        <v>48.84</v>
      </c>
      <c r="S54" s="25">
        <v>48.84</v>
      </c>
      <c r="T54" s="73"/>
    </row>
    <row r="55" spans="1:20" s="15" customFormat="1" ht="35.25" customHeight="1">
      <c r="A55" s="110"/>
      <c r="B55" s="109" t="s">
        <v>585</v>
      </c>
      <c r="C55" s="110"/>
      <c r="D55" s="23" t="s">
        <v>59</v>
      </c>
      <c r="E55" s="24" t="s">
        <v>61</v>
      </c>
      <c r="F55" s="24" t="s">
        <v>583</v>
      </c>
      <c r="G55" s="24" t="s">
        <v>573</v>
      </c>
      <c r="H55" s="25"/>
      <c r="I55" s="25"/>
      <c r="J55" s="25"/>
      <c r="K55" s="25"/>
      <c r="L55" s="25"/>
      <c r="M55" s="25"/>
      <c r="N55" s="25"/>
      <c r="O55" s="25"/>
      <c r="P55" s="25">
        <v>5.6421799999999998</v>
      </c>
      <c r="Q55" s="25">
        <v>1.2210399999999999</v>
      </c>
      <c r="R55" s="25"/>
      <c r="S55" s="25"/>
      <c r="T55" s="124" t="s">
        <v>752</v>
      </c>
    </row>
    <row r="56" spans="1:20" s="15" customFormat="1" ht="35.25" customHeight="1">
      <c r="A56" s="110"/>
      <c r="B56" s="131"/>
      <c r="C56" s="110"/>
      <c r="D56" s="23" t="s">
        <v>59</v>
      </c>
      <c r="E56" s="24" t="s">
        <v>64</v>
      </c>
      <c r="F56" s="24" t="s">
        <v>583</v>
      </c>
      <c r="G56" s="24" t="s">
        <v>573</v>
      </c>
      <c r="H56" s="25"/>
      <c r="I56" s="25"/>
      <c r="J56" s="25"/>
      <c r="K56" s="25"/>
      <c r="L56" s="25"/>
      <c r="M56" s="25"/>
      <c r="N56" s="25"/>
      <c r="O56" s="25"/>
      <c r="P56" s="25">
        <v>19.000080000000001</v>
      </c>
      <c r="Q56" s="25">
        <v>3.2021700000000002</v>
      </c>
      <c r="R56" s="25"/>
      <c r="S56" s="25"/>
      <c r="T56" s="126"/>
    </row>
    <row r="57" spans="1:20" s="15" customFormat="1" ht="48.75" customHeight="1">
      <c r="A57" s="110"/>
      <c r="B57" s="130"/>
      <c r="C57" s="110"/>
      <c r="D57" s="23" t="s">
        <v>59</v>
      </c>
      <c r="E57" s="24" t="s">
        <v>109</v>
      </c>
      <c r="F57" s="24" t="s">
        <v>583</v>
      </c>
      <c r="G57" s="24" t="s">
        <v>584</v>
      </c>
      <c r="H57" s="25"/>
      <c r="I57" s="25"/>
      <c r="J57" s="25"/>
      <c r="K57" s="25"/>
      <c r="L57" s="25"/>
      <c r="M57" s="25"/>
      <c r="N57" s="25"/>
      <c r="O57" s="25"/>
      <c r="P57" s="25">
        <f>0.01059+0.00268</f>
        <v>1.3270000000000001E-2</v>
      </c>
      <c r="Q57" s="25">
        <f>0.01059+0.00268</f>
        <v>1.3270000000000001E-2</v>
      </c>
      <c r="R57" s="25"/>
      <c r="S57" s="25"/>
      <c r="T57" s="73"/>
    </row>
    <row r="58" spans="1:20" s="15" customFormat="1" ht="82.5" customHeight="1">
      <c r="A58" s="110"/>
      <c r="B58" s="10" t="s">
        <v>115</v>
      </c>
      <c r="C58" s="110"/>
      <c r="D58" s="23" t="s">
        <v>59</v>
      </c>
      <c r="E58" s="24" t="s">
        <v>75</v>
      </c>
      <c r="F58" s="24" t="s">
        <v>116</v>
      </c>
      <c r="G58" s="59" t="s">
        <v>582</v>
      </c>
      <c r="H58" s="25">
        <v>1.4410000000000001</v>
      </c>
      <c r="I58" s="25">
        <v>1.4410000000000001</v>
      </c>
      <c r="J58" s="25"/>
      <c r="K58" s="25"/>
      <c r="L58" s="25">
        <f t="shared" ref="L58:Q58" si="12">1.332+0.115</f>
        <v>1.4470000000000001</v>
      </c>
      <c r="M58" s="25">
        <f t="shared" si="12"/>
        <v>1.4470000000000001</v>
      </c>
      <c r="N58" s="25">
        <f t="shared" si="12"/>
        <v>1.4470000000000001</v>
      </c>
      <c r="O58" s="25">
        <f t="shared" si="12"/>
        <v>1.4470000000000001</v>
      </c>
      <c r="P58" s="25">
        <f t="shared" si="12"/>
        <v>1.4470000000000001</v>
      </c>
      <c r="Q58" s="25">
        <f t="shared" si="12"/>
        <v>1.4470000000000001</v>
      </c>
      <c r="R58" s="25">
        <f>1.332+0.115</f>
        <v>1.4470000000000001</v>
      </c>
      <c r="S58" s="25">
        <f>1.332+0.115</f>
        <v>1.4470000000000001</v>
      </c>
      <c r="T58" s="73"/>
    </row>
    <row r="59" spans="1:20" s="15" customFormat="1" ht="72" customHeight="1">
      <c r="A59" s="110"/>
      <c r="B59" s="11" t="s">
        <v>117</v>
      </c>
      <c r="C59" s="110"/>
      <c r="D59" s="23" t="s">
        <v>59</v>
      </c>
      <c r="E59" s="24" t="s">
        <v>75</v>
      </c>
      <c r="F59" s="24" t="s">
        <v>118</v>
      </c>
      <c r="G59" s="24" t="s">
        <v>570</v>
      </c>
      <c r="H59" s="25">
        <v>695.65139999999997</v>
      </c>
      <c r="I59" s="25">
        <v>695.65139999999997</v>
      </c>
      <c r="J59" s="25"/>
      <c r="K59" s="25"/>
      <c r="L59" s="25">
        <v>163.12799999999999</v>
      </c>
      <c r="M59" s="25">
        <v>163.12799999999999</v>
      </c>
      <c r="N59" s="25">
        <v>804.81200000000001</v>
      </c>
      <c r="O59" s="25">
        <v>804.81200000000001</v>
      </c>
      <c r="P59" s="25">
        <v>734.63302999999996</v>
      </c>
      <c r="Q59" s="25">
        <v>734.63302999999996</v>
      </c>
      <c r="R59" s="25">
        <v>768.62300000000005</v>
      </c>
      <c r="S59" s="25">
        <v>768.62300000000005</v>
      </c>
      <c r="T59" s="73"/>
    </row>
    <row r="60" spans="1:20" s="15" customFormat="1" ht="120" customHeight="1">
      <c r="A60" s="110"/>
      <c r="B60" s="11" t="s">
        <v>119</v>
      </c>
      <c r="C60" s="110"/>
      <c r="D60" s="23" t="s">
        <v>59</v>
      </c>
      <c r="E60" s="24" t="s">
        <v>61</v>
      </c>
      <c r="F60" s="24" t="s">
        <v>120</v>
      </c>
      <c r="G60" s="24" t="s">
        <v>573</v>
      </c>
      <c r="H60" s="25">
        <v>4.9729999999999999</v>
      </c>
      <c r="I60" s="25">
        <v>4.9729999999999999</v>
      </c>
      <c r="J60" s="25">
        <v>4.9729999999999999</v>
      </c>
      <c r="K60" s="25">
        <v>4.9729999999999999</v>
      </c>
      <c r="L60" s="25">
        <v>4.9729999999999999</v>
      </c>
      <c r="M60" s="25">
        <v>4.9729999999999999</v>
      </c>
      <c r="N60" s="25">
        <v>4.9729999999999999</v>
      </c>
      <c r="O60" s="25">
        <v>4.9729999999999999</v>
      </c>
      <c r="P60" s="25">
        <v>4.9729999999999999</v>
      </c>
      <c r="Q60" s="25">
        <v>4.9729999999999999</v>
      </c>
      <c r="R60" s="25">
        <v>4.9729999999999999</v>
      </c>
      <c r="S60" s="25">
        <v>4.9729999999999999</v>
      </c>
      <c r="T60" s="73"/>
    </row>
    <row r="61" spans="1:20" s="15" customFormat="1" ht="71.25" customHeight="1">
      <c r="A61" s="110"/>
      <c r="B61" s="11" t="s">
        <v>121</v>
      </c>
      <c r="C61" s="110"/>
      <c r="D61" s="23" t="s">
        <v>59</v>
      </c>
      <c r="E61" s="24" t="s">
        <v>61</v>
      </c>
      <c r="F61" s="24" t="s">
        <v>122</v>
      </c>
      <c r="G61" s="24" t="s">
        <v>63</v>
      </c>
      <c r="H61" s="25">
        <v>5</v>
      </c>
      <c r="I61" s="25">
        <v>5</v>
      </c>
      <c r="J61" s="25"/>
      <c r="K61" s="25"/>
      <c r="L61" s="25"/>
      <c r="M61" s="25"/>
      <c r="N61" s="25"/>
      <c r="O61" s="25"/>
      <c r="P61" s="25"/>
      <c r="Q61" s="25"/>
      <c r="R61" s="25"/>
      <c r="S61" s="25"/>
      <c r="T61" s="73"/>
    </row>
    <row r="62" spans="1:20" s="15" customFormat="1" ht="134.25" customHeight="1">
      <c r="A62" s="110"/>
      <c r="B62" s="11" t="s">
        <v>123</v>
      </c>
      <c r="C62" s="110"/>
      <c r="D62" s="23" t="s">
        <v>59</v>
      </c>
      <c r="E62" s="24" t="s">
        <v>64</v>
      </c>
      <c r="F62" s="24" t="s">
        <v>124</v>
      </c>
      <c r="G62" s="24" t="s">
        <v>573</v>
      </c>
      <c r="H62" s="25">
        <v>0.223</v>
      </c>
      <c r="I62" s="25">
        <v>0.223</v>
      </c>
      <c r="J62" s="25"/>
      <c r="K62" s="25"/>
      <c r="L62" s="25">
        <v>0.30399999999999999</v>
      </c>
      <c r="M62" s="25">
        <v>0.30399999999999999</v>
      </c>
      <c r="N62" s="25">
        <v>0.30399999999999999</v>
      </c>
      <c r="O62" s="25">
        <v>0.30399999999999999</v>
      </c>
      <c r="P62" s="25">
        <v>0.30399999999999999</v>
      </c>
      <c r="Q62" s="25">
        <v>0.30399999999999999</v>
      </c>
      <c r="R62" s="25">
        <v>0.29399999999999998</v>
      </c>
      <c r="S62" s="25">
        <v>0.29399999999999998</v>
      </c>
      <c r="T62" s="73"/>
    </row>
    <row r="63" spans="1:20" s="15" customFormat="1" ht="106.5" customHeight="1">
      <c r="A63" s="110"/>
      <c r="B63" s="11" t="s">
        <v>125</v>
      </c>
      <c r="C63" s="110"/>
      <c r="D63" s="23" t="s">
        <v>59</v>
      </c>
      <c r="E63" s="24" t="s">
        <v>64</v>
      </c>
      <c r="F63" s="24" t="s">
        <v>126</v>
      </c>
      <c r="G63" s="24" t="s">
        <v>573</v>
      </c>
      <c r="H63" s="25">
        <v>58.46</v>
      </c>
      <c r="I63" s="25">
        <v>58.46</v>
      </c>
      <c r="J63" s="25"/>
      <c r="K63" s="25"/>
      <c r="L63" s="25">
        <v>28.065000000000001</v>
      </c>
      <c r="M63" s="25">
        <v>28.065000000000001</v>
      </c>
      <c r="N63" s="25">
        <v>51.639000000000003</v>
      </c>
      <c r="O63" s="25">
        <v>51.639000000000003</v>
      </c>
      <c r="P63" s="25">
        <v>51.639000000000003</v>
      </c>
      <c r="Q63" s="25">
        <v>51.639000000000003</v>
      </c>
      <c r="R63" s="25"/>
      <c r="S63" s="25"/>
      <c r="T63" s="73"/>
    </row>
    <row r="64" spans="1:20" s="15" customFormat="1" ht="60" customHeight="1">
      <c r="A64" s="110"/>
      <c r="B64" s="11" t="s">
        <v>127</v>
      </c>
      <c r="C64" s="110"/>
      <c r="D64" s="23" t="s">
        <v>59</v>
      </c>
      <c r="E64" s="24" t="s">
        <v>61</v>
      </c>
      <c r="F64" s="24" t="s">
        <v>128</v>
      </c>
      <c r="G64" s="24" t="s">
        <v>63</v>
      </c>
      <c r="H64" s="25">
        <v>327.3</v>
      </c>
      <c r="I64" s="25">
        <v>327.3</v>
      </c>
      <c r="J64" s="25"/>
      <c r="K64" s="25"/>
      <c r="L64" s="25"/>
      <c r="M64" s="25"/>
      <c r="N64" s="25"/>
      <c r="O64" s="25"/>
      <c r="P64" s="25"/>
      <c r="Q64" s="25"/>
      <c r="R64" s="25"/>
      <c r="S64" s="25"/>
      <c r="T64" s="73"/>
    </row>
    <row r="65" spans="1:20" s="15" customFormat="1" ht="31.5" customHeight="1">
      <c r="A65" s="110"/>
      <c r="B65" s="109" t="s">
        <v>38</v>
      </c>
      <c r="C65" s="110"/>
      <c r="D65" s="23" t="s">
        <v>59</v>
      </c>
      <c r="E65" s="24" t="s">
        <v>61</v>
      </c>
      <c r="F65" s="24" t="s">
        <v>129</v>
      </c>
      <c r="G65" s="24" t="s">
        <v>570</v>
      </c>
      <c r="H65" s="25">
        <v>366.34676000000002</v>
      </c>
      <c r="I65" s="25">
        <v>366.34676000000002</v>
      </c>
      <c r="J65" s="25"/>
      <c r="K65" s="25"/>
      <c r="L65" s="25"/>
      <c r="M65" s="25"/>
      <c r="N65" s="25"/>
      <c r="O65" s="25"/>
      <c r="P65" s="25">
        <v>179.851</v>
      </c>
      <c r="Q65" s="25">
        <v>179.851</v>
      </c>
      <c r="R65" s="25"/>
      <c r="S65" s="25"/>
      <c r="T65" s="73"/>
    </row>
    <row r="66" spans="1:20" s="15" customFormat="1" ht="31.5" customHeight="1">
      <c r="A66" s="110"/>
      <c r="B66" s="110"/>
      <c r="C66" s="110"/>
      <c r="D66" s="23" t="s">
        <v>59</v>
      </c>
      <c r="E66" s="24" t="s">
        <v>64</v>
      </c>
      <c r="F66" s="24" t="s">
        <v>129</v>
      </c>
      <c r="G66" s="24" t="s">
        <v>570</v>
      </c>
      <c r="H66" s="25">
        <v>1285.9187999999999</v>
      </c>
      <c r="I66" s="25">
        <v>1285.9187999999999</v>
      </c>
      <c r="J66" s="25"/>
      <c r="K66" s="25"/>
      <c r="L66" s="25"/>
      <c r="M66" s="25"/>
      <c r="N66" s="25"/>
      <c r="O66" s="25"/>
      <c r="P66" s="25">
        <v>839.22</v>
      </c>
      <c r="Q66" s="25">
        <v>839.22</v>
      </c>
      <c r="R66" s="25"/>
      <c r="S66" s="25"/>
      <c r="T66" s="73"/>
    </row>
    <row r="67" spans="1:20" s="15" customFormat="1" ht="31.5" customHeight="1">
      <c r="A67" s="110"/>
      <c r="B67" s="110"/>
      <c r="C67" s="110"/>
      <c r="D67" s="23" t="s">
        <v>59</v>
      </c>
      <c r="E67" s="24" t="s">
        <v>64</v>
      </c>
      <c r="F67" s="24" t="s">
        <v>129</v>
      </c>
      <c r="G67" s="24" t="s">
        <v>571</v>
      </c>
      <c r="H67" s="25">
        <v>121.723</v>
      </c>
      <c r="I67" s="25">
        <v>121.723</v>
      </c>
      <c r="J67" s="25"/>
      <c r="K67" s="25"/>
      <c r="L67" s="25"/>
      <c r="M67" s="25"/>
      <c r="N67" s="25"/>
      <c r="O67" s="25"/>
      <c r="P67" s="25">
        <v>3.149</v>
      </c>
      <c r="Q67" s="25">
        <v>3.149</v>
      </c>
      <c r="R67" s="25"/>
      <c r="S67" s="25"/>
      <c r="T67" s="73"/>
    </row>
    <row r="68" spans="1:20" s="15" customFormat="1" ht="31.5" customHeight="1">
      <c r="A68" s="110"/>
      <c r="B68" s="111"/>
      <c r="C68" s="110"/>
      <c r="D68" s="23" t="s">
        <v>59</v>
      </c>
      <c r="E68" s="24" t="s">
        <v>109</v>
      </c>
      <c r="F68" s="24" t="s">
        <v>129</v>
      </c>
      <c r="G68" s="24" t="s">
        <v>63</v>
      </c>
      <c r="H68" s="25">
        <v>1.2983499999999999</v>
      </c>
      <c r="I68" s="25">
        <v>1.2983499999999999</v>
      </c>
      <c r="J68" s="25"/>
      <c r="K68" s="25"/>
      <c r="L68" s="25"/>
      <c r="M68" s="25"/>
      <c r="N68" s="25"/>
      <c r="O68" s="25"/>
      <c r="P68" s="25"/>
      <c r="Q68" s="25"/>
      <c r="R68" s="25"/>
      <c r="S68" s="25"/>
      <c r="T68" s="73"/>
    </row>
    <row r="69" spans="1:20" s="15" customFormat="1" ht="108.75" customHeight="1">
      <c r="A69" s="110"/>
      <c r="B69" s="47" t="s">
        <v>590</v>
      </c>
      <c r="C69" s="110"/>
      <c r="D69" s="23" t="s">
        <v>59</v>
      </c>
      <c r="E69" s="24" t="s">
        <v>64</v>
      </c>
      <c r="F69" s="24" t="s">
        <v>586</v>
      </c>
      <c r="G69" s="24" t="s">
        <v>573</v>
      </c>
      <c r="H69" s="25"/>
      <c r="I69" s="25"/>
      <c r="J69" s="25"/>
      <c r="K69" s="25"/>
      <c r="L69" s="25">
        <v>386.95517999999998</v>
      </c>
      <c r="M69" s="25">
        <v>386.95517999999998</v>
      </c>
      <c r="N69" s="25">
        <v>1408.7773400000001</v>
      </c>
      <c r="O69" s="25">
        <v>1408.7773400000001</v>
      </c>
      <c r="P69" s="25">
        <v>1408.7773400000001</v>
      </c>
      <c r="Q69" s="25">
        <v>1408.7773400000001</v>
      </c>
      <c r="R69" s="25"/>
      <c r="S69" s="25"/>
      <c r="T69" s="73"/>
    </row>
    <row r="70" spans="1:20" s="15" customFormat="1" ht="99.75" customHeight="1">
      <c r="A70" s="110"/>
      <c r="B70" s="47" t="s">
        <v>591</v>
      </c>
      <c r="C70" s="110"/>
      <c r="D70" s="23" t="s">
        <v>59</v>
      </c>
      <c r="E70" s="24" t="s">
        <v>64</v>
      </c>
      <c r="F70" s="24" t="s">
        <v>587</v>
      </c>
      <c r="G70" s="24" t="s">
        <v>589</v>
      </c>
      <c r="H70" s="25"/>
      <c r="I70" s="25"/>
      <c r="J70" s="25"/>
      <c r="K70" s="25"/>
      <c r="L70" s="25"/>
      <c r="M70" s="25"/>
      <c r="N70" s="25">
        <v>24.753</v>
      </c>
      <c r="O70" s="25"/>
      <c r="P70" s="25">
        <v>75.741</v>
      </c>
      <c r="Q70" s="25">
        <v>75.741</v>
      </c>
      <c r="R70" s="25"/>
      <c r="S70" s="25"/>
      <c r="T70" s="73"/>
    </row>
    <row r="71" spans="1:20" s="15" customFormat="1" ht="83.25" customHeight="1">
      <c r="A71" s="111"/>
      <c r="B71" s="47" t="s">
        <v>592</v>
      </c>
      <c r="C71" s="111"/>
      <c r="D71" s="23" t="s">
        <v>59</v>
      </c>
      <c r="E71" s="24" t="s">
        <v>64</v>
      </c>
      <c r="F71" s="24" t="s">
        <v>588</v>
      </c>
      <c r="G71" s="24" t="s">
        <v>573</v>
      </c>
      <c r="H71" s="25"/>
      <c r="I71" s="25"/>
      <c r="J71" s="25"/>
      <c r="K71" s="25"/>
      <c r="L71" s="25"/>
      <c r="M71" s="25"/>
      <c r="N71" s="25"/>
      <c r="O71" s="25"/>
      <c r="P71" s="25">
        <v>6.94</v>
      </c>
      <c r="Q71" s="25">
        <v>6.94</v>
      </c>
      <c r="R71" s="25"/>
      <c r="S71" s="25"/>
      <c r="T71" s="73"/>
    </row>
    <row r="72" spans="1:20" s="15" customFormat="1" ht="12.75" customHeight="1">
      <c r="A72" s="109" t="s">
        <v>130</v>
      </c>
      <c r="B72" s="109" t="s">
        <v>30</v>
      </c>
      <c r="C72" s="11" t="s">
        <v>57</v>
      </c>
      <c r="D72" s="23"/>
      <c r="E72" s="23"/>
      <c r="F72" s="23"/>
      <c r="G72" s="23"/>
      <c r="H72" s="25">
        <f t="shared" ref="H72:K72" si="13">H73</f>
        <v>511.01299999999998</v>
      </c>
      <c r="I72" s="25">
        <f t="shared" si="13"/>
        <v>511.01299999999998</v>
      </c>
      <c r="J72" s="25">
        <f t="shared" si="13"/>
        <v>87.514409999999998</v>
      </c>
      <c r="K72" s="25">
        <f t="shared" si="13"/>
        <v>86.890410000000003</v>
      </c>
      <c r="L72" s="25">
        <f t="shared" ref="L72" si="14">L73</f>
        <v>237.09341000000001</v>
      </c>
      <c r="M72" s="25">
        <f t="shared" ref="M72" si="15">M73</f>
        <v>237.09341000000001</v>
      </c>
      <c r="N72" s="25">
        <f t="shared" ref="N72" si="16">N73</f>
        <v>790.13240999999994</v>
      </c>
      <c r="O72" s="25">
        <f t="shared" ref="O72" si="17">O73</f>
        <v>790.13240999999994</v>
      </c>
      <c r="P72" s="25">
        <f>P73</f>
        <v>1482.2004099999999</v>
      </c>
      <c r="Q72" s="25">
        <f>Q73</f>
        <v>1482.2004099999999</v>
      </c>
      <c r="R72" s="25"/>
      <c r="S72" s="25"/>
      <c r="T72" s="73"/>
    </row>
    <row r="73" spans="1:20" s="15" customFormat="1" ht="13.2">
      <c r="A73" s="110"/>
      <c r="B73" s="110"/>
      <c r="C73" s="11" t="s">
        <v>131</v>
      </c>
      <c r="D73" s="23"/>
      <c r="E73" s="23"/>
      <c r="F73" s="23"/>
      <c r="G73" s="23"/>
      <c r="H73" s="25">
        <f>H74+H75</f>
        <v>511.01299999999998</v>
      </c>
      <c r="I73" s="25">
        <f t="shared" ref="I73" si="18">I74+I75</f>
        <v>511.01299999999998</v>
      </c>
      <c r="J73" s="25">
        <f t="shared" ref="J73:K73" si="19">J74+J75</f>
        <v>87.514409999999998</v>
      </c>
      <c r="K73" s="25">
        <f t="shared" si="19"/>
        <v>86.890410000000003</v>
      </c>
      <c r="L73" s="25">
        <f t="shared" ref="L73" si="20">L74+L75</f>
        <v>237.09341000000001</v>
      </c>
      <c r="M73" s="25">
        <f t="shared" ref="M73" si="21">M74+M75</f>
        <v>237.09341000000001</v>
      </c>
      <c r="N73" s="25">
        <f t="shared" ref="N73" si="22">N74+N75</f>
        <v>790.13240999999994</v>
      </c>
      <c r="O73" s="25">
        <f t="shared" ref="O73" si="23">O74+O75</f>
        <v>790.13240999999994</v>
      </c>
      <c r="P73" s="25">
        <f>P74+P75</f>
        <v>1482.2004099999999</v>
      </c>
      <c r="Q73" s="25">
        <f>Q74+Q75</f>
        <v>1482.2004099999999</v>
      </c>
      <c r="R73" s="25"/>
      <c r="S73" s="25"/>
      <c r="T73" s="73"/>
    </row>
    <row r="74" spans="1:20" s="15" customFormat="1" ht="41.25" customHeight="1">
      <c r="A74" s="110"/>
      <c r="B74" s="110"/>
      <c r="C74" s="109" t="s">
        <v>132</v>
      </c>
      <c r="D74" s="23" t="s">
        <v>59</v>
      </c>
      <c r="E74" s="24" t="s">
        <v>109</v>
      </c>
      <c r="F74" s="24" t="s">
        <v>133</v>
      </c>
      <c r="G74" s="24" t="s">
        <v>593</v>
      </c>
      <c r="H74" s="25">
        <v>281.61599999999999</v>
      </c>
      <c r="I74" s="25">
        <v>281.61599999999999</v>
      </c>
      <c r="J74" s="25">
        <v>26.89</v>
      </c>
      <c r="K74" s="25">
        <v>26.265999999999998</v>
      </c>
      <c r="L74" s="25">
        <f>85.762</f>
        <v>85.762</v>
      </c>
      <c r="M74" s="25">
        <v>85.762</v>
      </c>
      <c r="N74" s="25">
        <f>365.954+113.873</f>
        <v>479.827</v>
      </c>
      <c r="O74" s="25">
        <f>365.954+113.873</f>
        <v>479.827</v>
      </c>
      <c r="P74" s="25">
        <f>862.13+113.873</f>
        <v>976.00300000000004</v>
      </c>
      <c r="Q74" s="25">
        <f>862.13+113.873</f>
        <v>976.00300000000004</v>
      </c>
      <c r="R74" s="25"/>
      <c r="S74" s="25"/>
      <c r="T74" s="73"/>
    </row>
    <row r="75" spans="1:20" s="15" customFormat="1" ht="41.25" customHeight="1">
      <c r="A75" s="111"/>
      <c r="B75" s="111"/>
      <c r="C75" s="111"/>
      <c r="D75" s="23" t="s">
        <v>59</v>
      </c>
      <c r="E75" s="24" t="s">
        <v>109</v>
      </c>
      <c r="F75" s="24" t="s">
        <v>133</v>
      </c>
      <c r="G75" s="24" t="s">
        <v>570</v>
      </c>
      <c r="H75" s="25">
        <v>229.39699999999999</v>
      </c>
      <c r="I75" s="25">
        <v>229.39699999999999</v>
      </c>
      <c r="J75" s="25">
        <v>60.624409999999997</v>
      </c>
      <c r="K75" s="25">
        <v>60.624409999999997</v>
      </c>
      <c r="L75" s="25">
        <v>151.33141000000001</v>
      </c>
      <c r="M75" s="25">
        <v>151.33141000000001</v>
      </c>
      <c r="N75" s="25">
        <f>56.297+254.00841</f>
        <v>310.30540999999999</v>
      </c>
      <c r="O75" s="25">
        <f>56.297+254.00841</f>
        <v>310.30540999999999</v>
      </c>
      <c r="P75" s="25">
        <f>117.297+388.90041</f>
        <v>506.19740999999999</v>
      </c>
      <c r="Q75" s="25">
        <f>117.297+388.90041</f>
        <v>506.19740999999999</v>
      </c>
      <c r="R75" s="25"/>
      <c r="S75" s="25"/>
      <c r="T75" s="73"/>
    </row>
    <row r="76" spans="1:20" s="15" customFormat="1" ht="12.75" customHeight="1">
      <c r="A76" s="109" t="s">
        <v>135</v>
      </c>
      <c r="B76" s="109" t="s">
        <v>596</v>
      </c>
      <c r="C76" s="46" t="s">
        <v>57</v>
      </c>
      <c r="D76" s="23"/>
      <c r="E76" s="23"/>
      <c r="F76" s="23"/>
      <c r="G76" s="23"/>
      <c r="H76" s="25">
        <f t="shared" ref="H76:Q77" si="24">H77</f>
        <v>0</v>
      </c>
      <c r="I76" s="25">
        <f t="shared" si="24"/>
        <v>0</v>
      </c>
      <c r="J76" s="25">
        <f t="shared" si="24"/>
        <v>0</v>
      </c>
      <c r="K76" s="25">
        <f t="shared" si="24"/>
        <v>0</v>
      </c>
      <c r="L76" s="25">
        <f t="shared" si="24"/>
        <v>0</v>
      </c>
      <c r="M76" s="25">
        <f t="shared" si="24"/>
        <v>0</v>
      </c>
      <c r="N76" s="25">
        <f t="shared" si="24"/>
        <v>623.9</v>
      </c>
      <c r="O76" s="25">
        <f t="shared" si="24"/>
        <v>623.9</v>
      </c>
      <c r="P76" s="25">
        <f>P77</f>
        <v>623.9</v>
      </c>
      <c r="Q76" s="25">
        <f>Q77</f>
        <v>623.9</v>
      </c>
      <c r="R76" s="25"/>
      <c r="S76" s="25"/>
      <c r="T76" s="73"/>
    </row>
    <row r="77" spans="1:20" s="15" customFormat="1" ht="13.2">
      <c r="A77" s="110"/>
      <c r="B77" s="110"/>
      <c r="C77" s="46" t="s">
        <v>131</v>
      </c>
      <c r="D77" s="23"/>
      <c r="E77" s="23"/>
      <c r="F77" s="23"/>
      <c r="G77" s="23"/>
      <c r="H77" s="25">
        <f>H78</f>
        <v>0</v>
      </c>
      <c r="I77" s="25">
        <f t="shared" si="24"/>
        <v>0</v>
      </c>
      <c r="J77" s="25">
        <f t="shared" si="24"/>
        <v>0</v>
      </c>
      <c r="K77" s="25">
        <f t="shared" si="24"/>
        <v>0</v>
      </c>
      <c r="L77" s="25">
        <f t="shared" si="24"/>
        <v>0</v>
      </c>
      <c r="M77" s="25">
        <f t="shared" si="24"/>
        <v>0</v>
      </c>
      <c r="N77" s="25">
        <f t="shared" si="24"/>
        <v>623.9</v>
      </c>
      <c r="O77" s="25">
        <f t="shared" si="24"/>
        <v>623.9</v>
      </c>
      <c r="P77" s="25">
        <f t="shared" si="24"/>
        <v>623.9</v>
      </c>
      <c r="Q77" s="25">
        <f t="shared" si="24"/>
        <v>623.9</v>
      </c>
      <c r="R77" s="25"/>
      <c r="S77" s="25"/>
      <c r="T77" s="73"/>
    </row>
    <row r="78" spans="1:20" s="15" customFormat="1" ht="159.75" customHeight="1">
      <c r="A78" s="110"/>
      <c r="B78" s="110"/>
      <c r="C78" s="45" t="s">
        <v>132</v>
      </c>
      <c r="D78" s="23" t="s">
        <v>59</v>
      </c>
      <c r="E78" s="24" t="s">
        <v>64</v>
      </c>
      <c r="F78" s="24" t="s">
        <v>595</v>
      </c>
      <c r="G78" s="24" t="s">
        <v>584</v>
      </c>
      <c r="H78" s="25"/>
      <c r="I78" s="25"/>
      <c r="J78" s="25"/>
      <c r="K78" s="25"/>
      <c r="L78" s="25"/>
      <c r="M78" s="25"/>
      <c r="N78" s="25">
        <v>623.9</v>
      </c>
      <c r="O78" s="25">
        <v>623.9</v>
      </c>
      <c r="P78" s="25">
        <v>623.9</v>
      </c>
      <c r="Q78" s="25">
        <v>623.9</v>
      </c>
      <c r="R78" s="25"/>
      <c r="S78" s="25"/>
      <c r="T78" s="73"/>
    </row>
    <row r="79" spans="1:20" s="15" customFormat="1" ht="54" customHeight="1">
      <c r="A79" s="109" t="s">
        <v>138</v>
      </c>
      <c r="B79" s="109" t="s">
        <v>44</v>
      </c>
      <c r="C79" s="11" t="s">
        <v>57</v>
      </c>
      <c r="D79" s="23"/>
      <c r="E79" s="23"/>
      <c r="F79" s="23"/>
      <c r="G79" s="23"/>
      <c r="H79" s="25">
        <f t="shared" ref="H79:I79" si="25">H80</f>
        <v>25874.2</v>
      </c>
      <c r="I79" s="25">
        <f t="shared" si="25"/>
        <v>21205.51612</v>
      </c>
      <c r="J79" s="25">
        <f>J80</f>
        <v>0</v>
      </c>
      <c r="K79" s="25">
        <f t="shared" ref="K79:O79" si="26">K80</f>
        <v>0</v>
      </c>
      <c r="L79" s="25">
        <f t="shared" si="26"/>
        <v>0</v>
      </c>
      <c r="M79" s="25">
        <f t="shared" si="26"/>
        <v>0</v>
      </c>
      <c r="N79" s="25">
        <f t="shared" si="26"/>
        <v>0</v>
      </c>
      <c r="O79" s="25">
        <f t="shared" si="26"/>
        <v>0</v>
      </c>
      <c r="P79" s="25">
        <f>P80</f>
        <v>0</v>
      </c>
      <c r="Q79" s="25">
        <f>Q80</f>
        <v>0</v>
      </c>
      <c r="R79" s="25">
        <f t="shared" ref="R79:S79" si="27">R80</f>
        <v>0</v>
      </c>
      <c r="S79" s="25">
        <f t="shared" si="27"/>
        <v>0</v>
      </c>
      <c r="T79" s="73"/>
    </row>
    <row r="80" spans="1:20" s="15" customFormat="1" ht="54" customHeight="1">
      <c r="A80" s="110"/>
      <c r="B80" s="111"/>
      <c r="C80" s="11" t="s">
        <v>58</v>
      </c>
      <c r="D80" s="23" t="s">
        <v>59</v>
      </c>
      <c r="E80" s="24" t="s">
        <v>81</v>
      </c>
      <c r="F80" s="24" t="s">
        <v>136</v>
      </c>
      <c r="G80" s="24" t="s">
        <v>137</v>
      </c>
      <c r="H80" s="25">
        <v>25874.2</v>
      </c>
      <c r="I80" s="25">
        <v>21205.51612</v>
      </c>
      <c r="J80" s="25"/>
      <c r="K80" s="25"/>
      <c r="L80" s="25"/>
      <c r="M80" s="25"/>
      <c r="N80" s="25"/>
      <c r="O80" s="25"/>
      <c r="P80" s="25"/>
      <c r="Q80" s="25"/>
      <c r="R80" s="25"/>
      <c r="S80" s="25"/>
      <c r="T80" s="75"/>
    </row>
    <row r="81" spans="1:20" s="15" customFormat="1" ht="12.75" customHeight="1">
      <c r="A81" s="109" t="s">
        <v>142</v>
      </c>
      <c r="B81" s="109" t="s">
        <v>43</v>
      </c>
      <c r="C81" s="11" t="s">
        <v>57</v>
      </c>
      <c r="D81" s="23"/>
      <c r="E81" s="23"/>
      <c r="F81" s="23"/>
      <c r="G81" s="23"/>
      <c r="H81" s="25">
        <f t="shared" ref="H81:K81" si="28">H82</f>
        <v>1523.8</v>
      </c>
      <c r="I81" s="25">
        <f t="shared" si="28"/>
        <v>1523.8</v>
      </c>
      <c r="J81" s="25">
        <f t="shared" si="28"/>
        <v>287.68299999999999</v>
      </c>
      <c r="K81" s="25">
        <f t="shared" si="28"/>
        <v>256.86380000000003</v>
      </c>
      <c r="L81" s="25">
        <f t="shared" ref="L81" si="29">L82</f>
        <v>702.45052999999996</v>
      </c>
      <c r="M81" s="25">
        <f t="shared" ref="M81" si="30">M82</f>
        <v>715.58173999999997</v>
      </c>
      <c r="N81" s="25">
        <f t="shared" ref="N81" si="31">N82</f>
        <v>702.45052999999996</v>
      </c>
      <c r="O81" s="25">
        <f t="shared" ref="O81" si="32">O82</f>
        <v>702.45052999999996</v>
      </c>
      <c r="P81" s="25">
        <f>P82</f>
        <v>702.45052999999996</v>
      </c>
      <c r="Q81" s="25">
        <f>Q82</f>
        <v>702.45052999999996</v>
      </c>
      <c r="R81" s="25">
        <f t="shared" ref="R81:S81" si="33">R82</f>
        <v>1585.5</v>
      </c>
      <c r="S81" s="25">
        <f t="shared" si="33"/>
        <v>1585.5</v>
      </c>
      <c r="T81" s="73"/>
    </row>
    <row r="82" spans="1:20" s="15" customFormat="1" ht="13.2">
      <c r="A82" s="110"/>
      <c r="B82" s="110"/>
      <c r="C82" s="11" t="s">
        <v>131</v>
      </c>
      <c r="D82" s="23"/>
      <c r="E82" s="23"/>
      <c r="F82" s="23"/>
      <c r="G82" s="23"/>
      <c r="H82" s="25">
        <f t="shared" ref="H82:I82" si="34">H83+H84</f>
        <v>1523.8</v>
      </c>
      <c r="I82" s="25">
        <f t="shared" si="34"/>
        <v>1523.8</v>
      </c>
      <c r="J82" s="25">
        <f t="shared" ref="J82:K82" si="35">J83+J84</f>
        <v>287.68299999999999</v>
      </c>
      <c r="K82" s="25">
        <f t="shared" si="35"/>
        <v>256.86380000000003</v>
      </c>
      <c r="L82" s="25">
        <f t="shared" ref="L82" si="36">L83+L84</f>
        <v>702.45052999999996</v>
      </c>
      <c r="M82" s="25">
        <f t="shared" ref="M82" si="37">M83+M84</f>
        <v>715.58173999999997</v>
      </c>
      <c r="N82" s="25">
        <f t="shared" ref="N82" si="38">N83+N84</f>
        <v>702.45052999999996</v>
      </c>
      <c r="O82" s="25">
        <f t="shared" ref="O82" si="39">O83+O84</f>
        <v>702.45052999999996</v>
      </c>
      <c r="P82" s="25">
        <f>P83+P84</f>
        <v>702.45052999999996</v>
      </c>
      <c r="Q82" s="25">
        <f>Q83+Q84</f>
        <v>702.45052999999996</v>
      </c>
      <c r="R82" s="25">
        <f t="shared" ref="R82:S82" si="40">R83+R84</f>
        <v>1585.5</v>
      </c>
      <c r="S82" s="25">
        <f t="shared" si="40"/>
        <v>1585.5</v>
      </c>
      <c r="T82" s="73"/>
    </row>
    <row r="83" spans="1:20" s="15" customFormat="1" ht="25.5" customHeight="1">
      <c r="A83" s="110"/>
      <c r="B83" s="110"/>
      <c r="C83" s="109" t="s">
        <v>132</v>
      </c>
      <c r="D83" s="23" t="s">
        <v>59</v>
      </c>
      <c r="E83" s="24" t="s">
        <v>109</v>
      </c>
      <c r="F83" s="24" t="s">
        <v>139</v>
      </c>
      <c r="G83" s="24" t="s">
        <v>594</v>
      </c>
      <c r="H83" s="25">
        <v>1264.2727</v>
      </c>
      <c r="I83" s="25">
        <v>1264.2727</v>
      </c>
      <c r="J83" s="25">
        <f>235.82+6.45</f>
        <v>242.26999999999998</v>
      </c>
      <c r="K83" s="25">
        <f>213.40495+3.9761</f>
        <v>217.38105000000002</v>
      </c>
      <c r="L83" s="25">
        <f>560.2674+5.1761</f>
        <v>565.44349999999997</v>
      </c>
      <c r="M83" s="25">
        <f>573.39861+5.1761</f>
        <v>578.57470999999998</v>
      </c>
      <c r="N83" s="25">
        <f>560.2674+5.1761</f>
        <v>565.44349999999997</v>
      </c>
      <c r="O83" s="25">
        <f>560.2674+5.1761</f>
        <v>565.44349999999997</v>
      </c>
      <c r="P83" s="25">
        <f>560.2674+5.1761</f>
        <v>565.44349999999997</v>
      </c>
      <c r="Q83" s="25">
        <f>560.2674+5.1761</f>
        <v>565.44349999999997</v>
      </c>
      <c r="R83" s="25">
        <f>1287.987+52.76</f>
        <v>1340.7470000000001</v>
      </c>
      <c r="S83" s="25">
        <f>1287.987+52.76</f>
        <v>1340.7470000000001</v>
      </c>
      <c r="T83" s="73"/>
    </row>
    <row r="84" spans="1:20" s="15" customFormat="1" ht="25.5" customHeight="1">
      <c r="A84" s="111"/>
      <c r="B84" s="111"/>
      <c r="C84" s="111"/>
      <c r="D84" s="23" t="s">
        <v>59</v>
      </c>
      <c r="E84" s="24" t="s">
        <v>109</v>
      </c>
      <c r="F84" s="24" t="s">
        <v>139</v>
      </c>
      <c r="G84" s="24" t="s">
        <v>584</v>
      </c>
      <c r="H84" s="25">
        <v>259.52730000000003</v>
      </c>
      <c r="I84" s="25">
        <v>259.52730000000003</v>
      </c>
      <c r="J84" s="25">
        <v>45.412999999999997</v>
      </c>
      <c r="K84" s="25">
        <v>39.482750000000003</v>
      </c>
      <c r="L84" s="25">
        <v>137.00702999999999</v>
      </c>
      <c r="M84" s="25">
        <v>137.00702999999999</v>
      </c>
      <c r="N84" s="25">
        <v>137.00702999999999</v>
      </c>
      <c r="O84" s="25">
        <v>137.00702999999999</v>
      </c>
      <c r="P84" s="25">
        <v>137.00702999999999</v>
      </c>
      <c r="Q84" s="25">
        <v>137.00702999999999</v>
      </c>
      <c r="R84" s="25">
        <v>244.75299999999999</v>
      </c>
      <c r="S84" s="25">
        <v>244.75299999999999</v>
      </c>
      <c r="T84" s="73"/>
    </row>
    <row r="85" spans="1:20" s="15" customFormat="1" ht="41.25" customHeight="1">
      <c r="A85" s="109" t="s">
        <v>144</v>
      </c>
      <c r="B85" s="109" t="s">
        <v>42</v>
      </c>
      <c r="C85" s="11" t="s">
        <v>57</v>
      </c>
      <c r="D85" s="23"/>
      <c r="E85" s="23"/>
      <c r="F85" s="23"/>
      <c r="G85" s="23"/>
      <c r="H85" s="25">
        <f t="shared" ref="H85:O85" si="41">H86</f>
        <v>20800.2</v>
      </c>
      <c r="I85" s="25">
        <f t="shared" si="41"/>
        <v>11782.9216</v>
      </c>
      <c r="J85" s="25">
        <f t="shared" si="41"/>
        <v>0</v>
      </c>
      <c r="K85" s="25">
        <f t="shared" si="41"/>
        <v>0</v>
      </c>
      <c r="L85" s="25">
        <f t="shared" si="41"/>
        <v>0</v>
      </c>
      <c r="M85" s="25">
        <f t="shared" si="41"/>
        <v>0</v>
      </c>
      <c r="N85" s="25">
        <f t="shared" si="41"/>
        <v>0</v>
      </c>
      <c r="O85" s="25">
        <f t="shared" si="41"/>
        <v>0</v>
      </c>
      <c r="P85" s="25">
        <f>P86</f>
        <v>0</v>
      </c>
      <c r="Q85" s="25">
        <f>Q86</f>
        <v>0</v>
      </c>
      <c r="R85" s="25">
        <f t="shared" ref="R85:S85" si="42">R86</f>
        <v>10533.6</v>
      </c>
      <c r="S85" s="25">
        <f t="shared" si="42"/>
        <v>5266.8</v>
      </c>
      <c r="T85" s="73"/>
    </row>
    <row r="86" spans="1:20" s="15" customFormat="1" ht="51" customHeight="1">
      <c r="A86" s="110"/>
      <c r="B86" s="111"/>
      <c r="C86" s="11" t="s">
        <v>58</v>
      </c>
      <c r="D86" s="23" t="s">
        <v>59</v>
      </c>
      <c r="E86" s="24" t="s">
        <v>81</v>
      </c>
      <c r="F86" s="24" t="s">
        <v>143</v>
      </c>
      <c r="G86" s="24" t="s">
        <v>137</v>
      </c>
      <c r="H86" s="25">
        <v>20800.2</v>
      </c>
      <c r="I86" s="25">
        <v>11782.9216</v>
      </c>
      <c r="J86" s="25"/>
      <c r="K86" s="25"/>
      <c r="L86" s="25"/>
      <c r="M86" s="25"/>
      <c r="N86" s="25"/>
      <c r="O86" s="25"/>
      <c r="P86" s="25"/>
      <c r="Q86" s="25"/>
      <c r="R86" s="25">
        <f>5794.5+4739.1</f>
        <v>10533.6</v>
      </c>
      <c r="S86" s="25">
        <f>2912.5+2354.3</f>
        <v>5266.8</v>
      </c>
      <c r="T86" s="75"/>
    </row>
    <row r="87" spans="1:20" s="15" customFormat="1" ht="12.75" customHeight="1">
      <c r="A87" s="109" t="s">
        <v>146</v>
      </c>
      <c r="B87" s="109" t="s">
        <v>41</v>
      </c>
      <c r="C87" s="11" t="s">
        <v>57</v>
      </c>
      <c r="D87" s="23"/>
      <c r="E87" s="23"/>
      <c r="F87" s="23"/>
      <c r="G87" s="23"/>
      <c r="H87" s="25">
        <f t="shared" ref="H87:K87" si="43">H88</f>
        <v>6000.4720000000007</v>
      </c>
      <c r="I87" s="25">
        <f t="shared" si="43"/>
        <v>6000.2369800000006</v>
      </c>
      <c r="J87" s="25">
        <f t="shared" si="43"/>
        <v>1079.4661099999998</v>
      </c>
      <c r="K87" s="25">
        <f t="shared" si="43"/>
        <v>957.08598000000006</v>
      </c>
      <c r="L87" s="25">
        <f t="shared" ref="L87" si="44">L88</f>
        <v>2881.5995699999999</v>
      </c>
      <c r="M87" s="25">
        <f t="shared" ref="M87" si="45">M88</f>
        <v>2858.7740800000001</v>
      </c>
      <c r="N87" s="25">
        <f t="shared" ref="N87" si="46">N88</f>
        <v>4099.3383300000005</v>
      </c>
      <c r="O87" s="25">
        <f t="shared" ref="O87" si="47">O88</f>
        <v>4084.9628399999997</v>
      </c>
      <c r="P87" s="25">
        <f>P88</f>
        <v>6058.3870000000006</v>
      </c>
      <c r="Q87" s="25">
        <f>Q88</f>
        <v>5987.9505899999995</v>
      </c>
      <c r="R87" s="25">
        <f t="shared" ref="R87:S87" si="48">R88</f>
        <v>5886.2400000000007</v>
      </c>
      <c r="S87" s="25">
        <f t="shared" si="48"/>
        <v>5886.2400000000007</v>
      </c>
      <c r="T87" s="73"/>
    </row>
    <row r="88" spans="1:20" s="15" customFormat="1" ht="13.2">
      <c r="A88" s="110"/>
      <c r="B88" s="110"/>
      <c r="C88" s="11" t="s">
        <v>131</v>
      </c>
      <c r="D88" s="23"/>
      <c r="E88" s="23"/>
      <c r="F88" s="23"/>
      <c r="G88" s="23"/>
      <c r="H88" s="25">
        <f t="shared" ref="H88:I88" si="49">H89+H90+H91</f>
        <v>6000.4720000000007</v>
      </c>
      <c r="I88" s="25">
        <f t="shared" si="49"/>
        <v>6000.2369800000006</v>
      </c>
      <c r="J88" s="25">
        <f t="shared" ref="J88:K88" si="50">J89+J90+J91</f>
        <v>1079.4661099999998</v>
      </c>
      <c r="K88" s="25">
        <f t="shared" si="50"/>
        <v>957.08598000000006</v>
      </c>
      <c r="L88" s="25">
        <f t="shared" ref="L88" si="51">L89+L90+L91</f>
        <v>2881.5995699999999</v>
      </c>
      <c r="M88" s="25">
        <f t="shared" ref="M88" si="52">M89+M90+M91</f>
        <v>2858.7740800000001</v>
      </c>
      <c r="N88" s="25">
        <f t="shared" ref="N88" si="53">N89+N90+N91</f>
        <v>4099.3383300000005</v>
      </c>
      <c r="O88" s="25">
        <f t="shared" ref="O88" si="54">O89+O90+O91</f>
        <v>4084.9628399999997</v>
      </c>
      <c r="P88" s="25">
        <f>P89+P90+P91</f>
        <v>6058.3870000000006</v>
      </c>
      <c r="Q88" s="25">
        <f>Q89+Q90+Q91</f>
        <v>5987.9505899999995</v>
      </c>
      <c r="R88" s="25">
        <f t="shared" ref="R88:S88" si="55">R89+R90+R91</f>
        <v>5886.2400000000007</v>
      </c>
      <c r="S88" s="25">
        <f t="shared" si="55"/>
        <v>5886.2400000000007</v>
      </c>
      <c r="T88" s="73"/>
    </row>
    <row r="89" spans="1:20" s="15" customFormat="1" ht="34.5" customHeight="1">
      <c r="A89" s="110"/>
      <c r="B89" s="110"/>
      <c r="C89" s="109" t="s">
        <v>132</v>
      </c>
      <c r="D89" s="23" t="s">
        <v>59</v>
      </c>
      <c r="E89" s="24" t="s">
        <v>109</v>
      </c>
      <c r="F89" s="24" t="s">
        <v>145</v>
      </c>
      <c r="G89" s="24" t="s">
        <v>594</v>
      </c>
      <c r="H89" s="25">
        <v>4427.0204000000003</v>
      </c>
      <c r="I89" s="25">
        <v>4426.7853800000003</v>
      </c>
      <c r="J89" s="25">
        <f>784.69111+51.85</f>
        <v>836.54111</v>
      </c>
      <c r="K89" s="25">
        <f>719.69728+51.85</f>
        <v>771.54728</v>
      </c>
      <c r="L89" s="25">
        <f>2082.18373+123.7</f>
        <v>2205.88373</v>
      </c>
      <c r="M89" s="25">
        <f>2081.80625+110.5</f>
        <v>2192.3062500000001</v>
      </c>
      <c r="N89" s="25">
        <f>2965.00571+181.024</f>
        <v>3146.0297099999998</v>
      </c>
      <c r="O89" s="25">
        <f>2964.62823+170.774</f>
        <v>3135.4022299999997</v>
      </c>
      <c r="P89" s="25">
        <f>4432.997+233.0543</f>
        <v>4666.0513000000001</v>
      </c>
      <c r="Q89" s="25">
        <f>4429.96588+233.0543</f>
        <v>4663.0201799999995</v>
      </c>
      <c r="R89" s="25">
        <f>4260.85+278.75</f>
        <v>4539.6000000000004</v>
      </c>
      <c r="S89" s="25">
        <f>4260.85+278.75</f>
        <v>4539.6000000000004</v>
      </c>
      <c r="T89" s="124" t="s">
        <v>753</v>
      </c>
    </row>
    <row r="90" spans="1:20" s="15" customFormat="1" ht="20.25" customHeight="1">
      <c r="A90" s="110"/>
      <c r="B90" s="110"/>
      <c r="C90" s="110"/>
      <c r="D90" s="23" t="s">
        <v>59</v>
      </c>
      <c r="E90" s="24" t="s">
        <v>109</v>
      </c>
      <c r="F90" s="24" t="s">
        <v>145</v>
      </c>
      <c r="G90" s="24" t="s">
        <v>584</v>
      </c>
      <c r="H90" s="25">
        <v>1525.6425999999999</v>
      </c>
      <c r="I90" s="25">
        <v>1525.6425999999999</v>
      </c>
      <c r="J90" s="25">
        <v>234.74</v>
      </c>
      <c r="K90" s="25">
        <v>177.77969999999999</v>
      </c>
      <c r="L90" s="25">
        <v>652.01283999999998</v>
      </c>
      <c r="M90" s="25">
        <v>642.76482999999996</v>
      </c>
      <c r="N90" s="25">
        <v>929.60562000000004</v>
      </c>
      <c r="O90" s="25">
        <v>925.85761000000002</v>
      </c>
      <c r="P90" s="25">
        <v>1360.8737000000001</v>
      </c>
      <c r="Q90" s="25">
        <v>1293.4684099999999</v>
      </c>
      <c r="R90" s="25">
        <v>1315.604</v>
      </c>
      <c r="S90" s="25">
        <v>1315.604</v>
      </c>
      <c r="T90" s="126"/>
    </row>
    <row r="91" spans="1:20" s="15" customFormat="1" ht="20.25" customHeight="1">
      <c r="A91" s="110"/>
      <c r="B91" s="111"/>
      <c r="C91" s="111"/>
      <c r="D91" s="23" t="s">
        <v>59</v>
      </c>
      <c r="E91" s="24" t="s">
        <v>109</v>
      </c>
      <c r="F91" s="24" t="s">
        <v>145</v>
      </c>
      <c r="G91" s="24" t="s">
        <v>598</v>
      </c>
      <c r="H91" s="25">
        <v>47.808999999999997</v>
      </c>
      <c r="I91" s="25">
        <v>47.808999999999997</v>
      </c>
      <c r="J91" s="25">
        <v>8.1850000000000005</v>
      </c>
      <c r="K91" s="25">
        <v>7.7590000000000003</v>
      </c>
      <c r="L91" s="25">
        <v>23.702999999999999</v>
      </c>
      <c r="M91" s="25">
        <v>23.702999999999999</v>
      </c>
      <c r="N91" s="25">
        <v>23.702999999999999</v>
      </c>
      <c r="O91" s="25">
        <v>23.702999999999999</v>
      </c>
      <c r="P91" s="25">
        <v>31.462</v>
      </c>
      <c r="Q91" s="25">
        <v>31.462</v>
      </c>
      <c r="R91" s="25">
        <v>31.036000000000001</v>
      </c>
      <c r="S91" s="25">
        <v>31.036000000000001</v>
      </c>
      <c r="T91" s="73"/>
    </row>
    <row r="92" spans="1:20" s="15" customFormat="1" ht="12.75" customHeight="1">
      <c r="A92" s="109" t="s">
        <v>148</v>
      </c>
      <c r="B92" s="109" t="s">
        <v>40</v>
      </c>
      <c r="C92" s="11" t="s">
        <v>57</v>
      </c>
      <c r="D92" s="23"/>
      <c r="E92" s="23"/>
      <c r="F92" s="23"/>
      <c r="G92" s="23"/>
      <c r="H92" s="25">
        <f>H93</f>
        <v>42187.023450000001</v>
      </c>
      <c r="I92" s="25">
        <f>I93</f>
        <v>42049.73472</v>
      </c>
      <c r="J92" s="25">
        <f t="shared" ref="J92:O92" si="56">J93</f>
        <v>9985.4833099999996</v>
      </c>
      <c r="K92" s="25">
        <f t="shared" si="56"/>
        <v>9890.1187500000015</v>
      </c>
      <c r="L92" s="25">
        <f t="shared" si="56"/>
        <v>21562.583280000003</v>
      </c>
      <c r="M92" s="25">
        <f t="shared" si="56"/>
        <v>21537.017930000002</v>
      </c>
      <c r="N92" s="25">
        <f t="shared" si="56"/>
        <v>30826.738329999996</v>
      </c>
      <c r="O92" s="25">
        <f t="shared" si="56"/>
        <v>30737.07231</v>
      </c>
      <c r="P92" s="25">
        <f>P93</f>
        <v>45232.518199999999</v>
      </c>
      <c r="Q92" s="25">
        <f>Q93</f>
        <v>44838.992609999994</v>
      </c>
      <c r="R92" s="25">
        <f t="shared" ref="R92:S92" si="57">R93</f>
        <v>44897.56700000001</v>
      </c>
      <c r="S92" s="25">
        <f t="shared" si="57"/>
        <v>44897.56700000001</v>
      </c>
      <c r="T92" s="73"/>
    </row>
    <row r="93" spans="1:20" s="15" customFormat="1" ht="13.2">
      <c r="A93" s="110"/>
      <c r="B93" s="110"/>
      <c r="C93" s="11" t="s">
        <v>131</v>
      </c>
      <c r="D93" s="23"/>
      <c r="E93" s="23"/>
      <c r="F93" s="23"/>
      <c r="G93" s="23"/>
      <c r="H93" s="25">
        <f>H94+H95+H97+H96</f>
        <v>42187.023450000001</v>
      </c>
      <c r="I93" s="25">
        <f>I94+I95+I97+I96</f>
        <v>42049.73472</v>
      </c>
      <c r="J93" s="25">
        <f t="shared" ref="J93:O93" si="58">J94+J95+J97+J96</f>
        <v>9985.4833099999996</v>
      </c>
      <c r="K93" s="25">
        <f t="shared" si="58"/>
        <v>9890.1187500000015</v>
      </c>
      <c r="L93" s="25">
        <f t="shared" si="58"/>
        <v>21562.583280000003</v>
      </c>
      <c r="M93" s="25">
        <f t="shared" si="58"/>
        <v>21537.017930000002</v>
      </c>
      <c r="N93" s="25">
        <f t="shared" si="58"/>
        <v>30826.738329999996</v>
      </c>
      <c r="O93" s="25">
        <f t="shared" si="58"/>
        <v>30737.07231</v>
      </c>
      <c r="P93" s="25">
        <f>P94+P95+P97+P96</f>
        <v>45232.518199999999</v>
      </c>
      <c r="Q93" s="25">
        <f>Q94+Q95+Q97+Q96</f>
        <v>44838.992609999994</v>
      </c>
      <c r="R93" s="25">
        <f t="shared" ref="R93:S93" si="59">R94+R95+R97+R96</f>
        <v>44897.56700000001</v>
      </c>
      <c r="S93" s="25">
        <f t="shared" si="59"/>
        <v>44897.56700000001</v>
      </c>
      <c r="T93" s="73"/>
    </row>
    <row r="94" spans="1:20" s="15" customFormat="1" ht="36" customHeight="1">
      <c r="A94" s="110"/>
      <c r="B94" s="110"/>
      <c r="C94" s="109" t="s">
        <v>132</v>
      </c>
      <c r="D94" s="23" t="s">
        <v>59</v>
      </c>
      <c r="E94" s="24" t="s">
        <v>109</v>
      </c>
      <c r="F94" s="24" t="s">
        <v>147</v>
      </c>
      <c r="G94" s="24" t="s">
        <v>599</v>
      </c>
      <c r="H94" s="25">
        <f>11749.38688+11956.349</f>
        <v>23705.73588</v>
      </c>
      <c r="I94" s="25">
        <f>11745.51895+11956.349</f>
        <v>23701.86795</v>
      </c>
      <c r="J94" s="25">
        <f>2346.06861+2250.5945+39.25</f>
        <v>4635.9131099999995</v>
      </c>
      <c r="K94" s="25">
        <f>2344.12186+2250.5945+34.3</f>
        <v>4629.0163600000005</v>
      </c>
      <c r="L94" s="25">
        <f>5947.04482+5728.5456+0.149+94.95</f>
        <v>11770.689420000001</v>
      </c>
      <c r="M94" s="25">
        <f>5945.04482+5727.5456+0.149+84.7</f>
        <v>11757.439420000001</v>
      </c>
      <c r="N94" s="25">
        <f>8509.11229+8607.22064+0.329+107.3125</f>
        <v>17223.974429999998</v>
      </c>
      <c r="O94" s="25">
        <f>8506.97412+8607.22064+0.329+104.45</f>
        <v>17218.973760000001</v>
      </c>
      <c r="P94" s="25">
        <f>12284.119+12609.513+5.06903+131.3625</f>
        <v>25030.063529999999</v>
      </c>
      <c r="Q94" s="25">
        <f>12273.85462+12595.65552+5.06903+129.3625</f>
        <v>25003.941669999997</v>
      </c>
      <c r="R94" s="25">
        <f>24603.092+121.04</f>
        <v>24724.132000000001</v>
      </c>
      <c r="S94" s="25">
        <f>24603.092+121.04</f>
        <v>24724.132000000001</v>
      </c>
      <c r="T94" s="124" t="s">
        <v>753</v>
      </c>
    </row>
    <row r="95" spans="1:20" s="15" customFormat="1" ht="36" customHeight="1">
      <c r="A95" s="110"/>
      <c r="B95" s="110"/>
      <c r="C95" s="110"/>
      <c r="D95" s="23" t="s">
        <v>59</v>
      </c>
      <c r="E95" s="24" t="s">
        <v>109</v>
      </c>
      <c r="F95" s="24" t="s">
        <v>147</v>
      </c>
      <c r="G95" s="24" t="s">
        <v>584</v>
      </c>
      <c r="H95" s="25">
        <f>1638.64212+7416.74398</f>
        <v>9055.3860999999997</v>
      </c>
      <c r="I95" s="25">
        <f>1562.619+7416.73898</f>
        <v>8979.3579800000007</v>
      </c>
      <c r="J95" s="25">
        <f>342.13759+2966.06725</f>
        <v>3308.2048399999999</v>
      </c>
      <c r="K95" s="25">
        <f>326.7829+2904.03648</f>
        <v>3230.8193800000004</v>
      </c>
      <c r="L95" s="25">
        <f>861.98219+3825.08121</f>
        <v>4687.0634</v>
      </c>
      <c r="M95" s="25">
        <f>861.21138+3813.53667</f>
        <v>4674.7480500000001</v>
      </c>
      <c r="N95" s="25">
        <f>1216.71647+5759.11381</f>
        <v>6975.8302800000001</v>
      </c>
      <c r="O95" s="25">
        <f>1215.94566+5675.21927</f>
        <v>6891.1649299999999</v>
      </c>
      <c r="P95" s="25">
        <f>1671.73497+8842.61419</f>
        <v>10514.34916</v>
      </c>
      <c r="Q95" s="25">
        <f>1671.73497+8475.21046</f>
        <v>10146.94543</v>
      </c>
      <c r="R95" s="25">
        <v>10394.036</v>
      </c>
      <c r="S95" s="25">
        <v>10394.036</v>
      </c>
      <c r="T95" s="125"/>
    </row>
    <row r="96" spans="1:20" s="15" customFormat="1" ht="36" customHeight="1">
      <c r="A96" s="110"/>
      <c r="B96" s="110"/>
      <c r="C96" s="110"/>
      <c r="D96" s="23" t="s">
        <v>59</v>
      </c>
      <c r="E96" s="24" t="s">
        <v>109</v>
      </c>
      <c r="F96" s="24" t="s">
        <v>147</v>
      </c>
      <c r="G96" s="24" t="s">
        <v>570</v>
      </c>
      <c r="H96" s="25">
        <f>9396.83947</f>
        <v>9396.8394700000008</v>
      </c>
      <c r="I96" s="25">
        <f>9339.44679</f>
        <v>9339.44679</v>
      </c>
      <c r="J96" s="25">
        <v>2030.3203599999999</v>
      </c>
      <c r="K96" s="25">
        <v>2019.23801</v>
      </c>
      <c r="L96" s="25">
        <v>5081.90146</v>
      </c>
      <c r="M96" s="25">
        <v>5081.90146</v>
      </c>
      <c r="N96" s="25">
        <v>6603.92731</v>
      </c>
      <c r="O96" s="25">
        <v>6603.92731</v>
      </c>
      <c r="P96" s="25">
        <v>9657.6191999999992</v>
      </c>
      <c r="Q96" s="25">
        <v>9657.6191999999992</v>
      </c>
      <c r="R96" s="25">
        <v>9668.4230000000007</v>
      </c>
      <c r="S96" s="25">
        <v>9668.4230000000007</v>
      </c>
      <c r="T96" s="126"/>
    </row>
    <row r="97" spans="1:20" s="15" customFormat="1" ht="20.25" customHeight="1">
      <c r="A97" s="110"/>
      <c r="B97" s="111"/>
      <c r="C97" s="111"/>
      <c r="D97" s="23" t="s">
        <v>59</v>
      </c>
      <c r="E97" s="24" t="s">
        <v>109</v>
      </c>
      <c r="F97" s="24" t="s">
        <v>147</v>
      </c>
      <c r="G97" s="24" t="s">
        <v>600</v>
      </c>
      <c r="H97" s="25">
        <f>23.813+5.249</f>
        <v>29.061999999999998</v>
      </c>
      <c r="I97" s="25">
        <f>23.813+5.249</f>
        <v>29.061999999999998</v>
      </c>
      <c r="J97" s="25">
        <f>4.845+6.2</f>
        <v>11.045</v>
      </c>
      <c r="K97" s="25">
        <f>4.845+6.2</f>
        <v>11.045</v>
      </c>
      <c r="L97" s="25">
        <f>13.929+9</f>
        <v>22.929000000000002</v>
      </c>
      <c r="M97" s="25">
        <f>13.929+9</f>
        <v>22.929000000000002</v>
      </c>
      <c r="N97" s="25">
        <f>13.929+9.07731</f>
        <v>23.006309999999999</v>
      </c>
      <c r="O97" s="25">
        <f>13.929+9.07731</f>
        <v>23.006309999999999</v>
      </c>
      <c r="P97" s="25">
        <f>18.168+12.31831</f>
        <v>30.48631</v>
      </c>
      <c r="Q97" s="25">
        <f>18.168+12.31831</f>
        <v>30.48631</v>
      </c>
      <c r="R97" s="25">
        <f>18.168+92.808</f>
        <v>110.976</v>
      </c>
      <c r="S97" s="25">
        <f>18.168+92.808</f>
        <v>110.976</v>
      </c>
      <c r="T97" s="73"/>
    </row>
    <row r="98" spans="1:20" s="15" customFormat="1" ht="12.75" customHeight="1">
      <c r="A98" s="109" t="s">
        <v>150</v>
      </c>
      <c r="B98" s="109" t="s">
        <v>39</v>
      </c>
      <c r="C98" s="11" t="s">
        <v>57</v>
      </c>
      <c r="D98" s="23"/>
      <c r="E98" s="23"/>
      <c r="F98" s="23"/>
      <c r="G98" s="23"/>
      <c r="H98" s="25">
        <f>H99</f>
        <v>119.458</v>
      </c>
      <c r="I98" s="25">
        <f>I99</f>
        <v>36.838999999999999</v>
      </c>
      <c r="J98" s="25">
        <f t="shared" ref="J98:O99" si="60">J99</f>
        <v>0</v>
      </c>
      <c r="K98" s="25">
        <f t="shared" si="60"/>
        <v>0</v>
      </c>
      <c r="L98" s="25">
        <f t="shared" si="60"/>
        <v>42.5</v>
      </c>
      <c r="M98" s="25">
        <f t="shared" si="60"/>
        <v>42.5</v>
      </c>
      <c r="N98" s="25">
        <f t="shared" si="60"/>
        <v>161.458</v>
      </c>
      <c r="O98" s="25">
        <f t="shared" si="60"/>
        <v>161.458</v>
      </c>
      <c r="P98" s="25">
        <f>P99</f>
        <v>162.357</v>
      </c>
      <c r="Q98" s="25">
        <f>Q99</f>
        <v>162.357</v>
      </c>
      <c r="R98" s="25">
        <f t="shared" ref="R98:S98" si="61">R99</f>
        <v>0</v>
      </c>
      <c r="S98" s="25">
        <f t="shared" si="61"/>
        <v>0</v>
      </c>
      <c r="T98" s="73"/>
    </row>
    <row r="99" spans="1:20" s="15" customFormat="1" ht="13.2">
      <c r="A99" s="110"/>
      <c r="B99" s="110"/>
      <c r="C99" s="11" t="s">
        <v>131</v>
      </c>
      <c r="D99" s="23"/>
      <c r="E99" s="23"/>
      <c r="F99" s="23"/>
      <c r="G99" s="23"/>
      <c r="H99" s="25">
        <f>H100</f>
        <v>119.458</v>
      </c>
      <c r="I99" s="25">
        <f>I100</f>
        <v>36.838999999999999</v>
      </c>
      <c r="J99" s="25">
        <f t="shared" si="60"/>
        <v>0</v>
      </c>
      <c r="K99" s="25">
        <f t="shared" si="60"/>
        <v>0</v>
      </c>
      <c r="L99" s="25">
        <f t="shared" si="60"/>
        <v>42.5</v>
      </c>
      <c r="M99" s="25">
        <f t="shared" si="60"/>
        <v>42.5</v>
      </c>
      <c r="N99" s="25">
        <f t="shared" si="60"/>
        <v>161.458</v>
      </c>
      <c r="O99" s="25">
        <f t="shared" si="60"/>
        <v>161.458</v>
      </c>
      <c r="P99" s="25">
        <f>P100</f>
        <v>162.357</v>
      </c>
      <c r="Q99" s="25">
        <f>Q100</f>
        <v>162.357</v>
      </c>
      <c r="R99" s="25">
        <f t="shared" ref="R99:S99" si="62">R100</f>
        <v>0</v>
      </c>
      <c r="S99" s="25">
        <f t="shared" si="62"/>
        <v>0</v>
      </c>
      <c r="T99" s="73"/>
    </row>
    <row r="100" spans="1:20" s="15" customFormat="1" ht="42" customHeight="1">
      <c r="A100" s="110"/>
      <c r="B100" s="110"/>
      <c r="C100" s="9" t="s">
        <v>132</v>
      </c>
      <c r="D100" s="23" t="s">
        <v>59</v>
      </c>
      <c r="E100" s="24" t="s">
        <v>109</v>
      </c>
      <c r="F100" s="24" t="s">
        <v>149</v>
      </c>
      <c r="G100" s="24" t="s">
        <v>573</v>
      </c>
      <c r="H100" s="25">
        <v>119.458</v>
      </c>
      <c r="I100" s="25">
        <v>36.838999999999999</v>
      </c>
      <c r="J100" s="25"/>
      <c r="K100" s="25"/>
      <c r="L100" s="25">
        <v>42.5</v>
      </c>
      <c r="M100" s="25">
        <v>42.5</v>
      </c>
      <c r="N100" s="25">
        <v>161.458</v>
      </c>
      <c r="O100" s="25">
        <v>161.458</v>
      </c>
      <c r="P100" s="25">
        <v>162.357</v>
      </c>
      <c r="Q100" s="25">
        <v>162.357</v>
      </c>
      <c r="R100" s="25"/>
      <c r="S100" s="25"/>
      <c r="T100" s="75"/>
    </row>
    <row r="101" spans="1:20" s="15" customFormat="1" ht="12.75" customHeight="1">
      <c r="A101" s="109" t="s">
        <v>597</v>
      </c>
      <c r="B101" s="109" t="s">
        <v>585</v>
      </c>
      <c r="C101" s="46" t="s">
        <v>57</v>
      </c>
      <c r="D101" s="23"/>
      <c r="E101" s="23"/>
      <c r="F101" s="23"/>
      <c r="G101" s="23"/>
      <c r="H101" s="25">
        <f>H102</f>
        <v>0</v>
      </c>
      <c r="I101" s="25">
        <f>I102</f>
        <v>0</v>
      </c>
      <c r="J101" s="25">
        <f>J102</f>
        <v>0</v>
      </c>
      <c r="K101" s="25">
        <f t="shared" ref="K101:O101" si="63">K102</f>
        <v>0</v>
      </c>
      <c r="L101" s="25">
        <f t="shared" si="63"/>
        <v>0</v>
      </c>
      <c r="M101" s="25">
        <f t="shared" si="63"/>
        <v>0</v>
      </c>
      <c r="N101" s="25">
        <f t="shared" si="63"/>
        <v>0</v>
      </c>
      <c r="O101" s="25">
        <f t="shared" si="63"/>
        <v>0</v>
      </c>
      <c r="P101" s="25">
        <f>P102</f>
        <v>8.2924699999999998</v>
      </c>
      <c r="Q101" s="25">
        <f>Q102</f>
        <v>2.6810100000000001</v>
      </c>
      <c r="R101" s="25"/>
      <c r="S101" s="25"/>
      <c r="T101" s="73"/>
    </row>
    <row r="102" spans="1:20" s="15" customFormat="1" ht="13.2">
      <c r="A102" s="110"/>
      <c r="B102" s="110"/>
      <c r="C102" s="46" t="s">
        <v>131</v>
      </c>
      <c r="D102" s="23"/>
      <c r="E102" s="23"/>
      <c r="F102" s="23"/>
      <c r="G102" s="23"/>
      <c r="H102" s="25">
        <f>H103+H104</f>
        <v>0</v>
      </c>
      <c r="I102" s="25">
        <f>I103+I104</f>
        <v>0</v>
      </c>
      <c r="J102" s="25">
        <f>J103+J104</f>
        <v>0</v>
      </c>
      <c r="K102" s="25">
        <f t="shared" ref="K102:O102" si="64">K103+K104</f>
        <v>0</v>
      </c>
      <c r="L102" s="25">
        <f t="shared" si="64"/>
        <v>0</v>
      </c>
      <c r="M102" s="25">
        <f t="shared" si="64"/>
        <v>0</v>
      </c>
      <c r="N102" s="25">
        <f t="shared" si="64"/>
        <v>0</v>
      </c>
      <c r="O102" s="25">
        <f t="shared" si="64"/>
        <v>0</v>
      </c>
      <c r="P102" s="25">
        <f>P103+P104</f>
        <v>8.2924699999999998</v>
      </c>
      <c r="Q102" s="25">
        <f>Q103+Q104</f>
        <v>2.6810100000000001</v>
      </c>
      <c r="R102" s="25"/>
      <c r="S102" s="25"/>
      <c r="T102" s="73"/>
    </row>
    <row r="103" spans="1:20" s="15" customFormat="1" ht="47.25" customHeight="1">
      <c r="A103" s="110"/>
      <c r="B103" s="110"/>
      <c r="C103" s="109" t="s">
        <v>132</v>
      </c>
      <c r="D103" s="23" t="s">
        <v>59</v>
      </c>
      <c r="E103" s="24" t="s">
        <v>109</v>
      </c>
      <c r="F103" s="24" t="s">
        <v>605</v>
      </c>
      <c r="G103" s="24" t="s">
        <v>584</v>
      </c>
      <c r="H103" s="25"/>
      <c r="I103" s="25"/>
      <c r="J103" s="25"/>
      <c r="K103" s="25"/>
      <c r="L103" s="25"/>
      <c r="M103" s="25"/>
      <c r="N103" s="25"/>
      <c r="O103" s="25"/>
      <c r="P103" s="25">
        <f>2.69751+2.6516</f>
        <v>5.3491099999999996</v>
      </c>
      <c r="Q103" s="25">
        <f>1.28125+0.76356</f>
        <v>2.04481</v>
      </c>
      <c r="R103" s="25"/>
      <c r="S103" s="25"/>
      <c r="T103" s="74"/>
    </row>
    <row r="104" spans="1:20" s="15" customFormat="1" ht="47.25" customHeight="1">
      <c r="A104" s="110"/>
      <c r="B104" s="110"/>
      <c r="C104" s="110"/>
      <c r="D104" s="23" t="s">
        <v>59</v>
      </c>
      <c r="E104" s="24" t="s">
        <v>109</v>
      </c>
      <c r="F104" s="24" t="s">
        <v>605</v>
      </c>
      <c r="G104" s="24" t="s">
        <v>573</v>
      </c>
      <c r="H104" s="25"/>
      <c r="I104" s="25"/>
      <c r="J104" s="25"/>
      <c r="K104" s="25"/>
      <c r="L104" s="25"/>
      <c r="M104" s="25"/>
      <c r="N104" s="25"/>
      <c r="O104" s="25"/>
      <c r="P104" s="25">
        <v>2.9433600000000002</v>
      </c>
      <c r="Q104" s="25">
        <v>0.63619999999999999</v>
      </c>
      <c r="R104" s="25"/>
      <c r="S104" s="25"/>
      <c r="T104" s="75" t="s">
        <v>754</v>
      </c>
    </row>
    <row r="105" spans="1:20" s="15" customFormat="1" ht="12.75" customHeight="1">
      <c r="A105" s="109" t="s">
        <v>601</v>
      </c>
      <c r="B105" s="109" t="s">
        <v>38</v>
      </c>
      <c r="C105" s="11" t="s">
        <v>57</v>
      </c>
      <c r="D105" s="23"/>
      <c r="E105" s="23"/>
      <c r="F105" s="23"/>
      <c r="G105" s="23"/>
      <c r="H105" s="25">
        <f>H106</f>
        <v>71.805180000000007</v>
      </c>
      <c r="I105" s="25">
        <f>I106</f>
        <v>71.805180000000007</v>
      </c>
      <c r="J105" s="25">
        <f>J106</f>
        <v>0</v>
      </c>
      <c r="K105" s="25">
        <f t="shared" ref="K105:O105" si="65">K106</f>
        <v>0</v>
      </c>
      <c r="L105" s="25">
        <f t="shared" si="65"/>
        <v>0</v>
      </c>
      <c r="M105" s="25">
        <f t="shared" si="65"/>
        <v>0</v>
      </c>
      <c r="N105" s="25">
        <f t="shared" si="65"/>
        <v>0</v>
      </c>
      <c r="O105" s="25">
        <f t="shared" si="65"/>
        <v>0</v>
      </c>
      <c r="P105" s="25">
        <f>P106</f>
        <v>2.42</v>
      </c>
      <c r="Q105" s="25">
        <f>Q106</f>
        <v>2.42</v>
      </c>
      <c r="R105" s="25"/>
      <c r="S105" s="25"/>
      <c r="T105" s="73"/>
    </row>
    <row r="106" spans="1:20" s="15" customFormat="1" ht="13.2">
      <c r="A106" s="110"/>
      <c r="B106" s="110"/>
      <c r="C106" s="11" t="s">
        <v>131</v>
      </c>
      <c r="D106" s="23"/>
      <c r="E106" s="23"/>
      <c r="F106" s="23"/>
      <c r="G106" s="23"/>
      <c r="H106" s="25">
        <f>H107+H108</f>
        <v>71.805180000000007</v>
      </c>
      <c r="I106" s="25">
        <f>I107+I108</f>
        <v>71.805180000000007</v>
      </c>
      <c r="J106" s="25">
        <f>J107+J108</f>
        <v>0</v>
      </c>
      <c r="K106" s="25">
        <f t="shared" ref="K106:O106" si="66">K107+K108</f>
        <v>0</v>
      </c>
      <c r="L106" s="25">
        <f t="shared" si="66"/>
        <v>0</v>
      </c>
      <c r="M106" s="25">
        <f t="shared" si="66"/>
        <v>0</v>
      </c>
      <c r="N106" s="25">
        <f t="shared" si="66"/>
        <v>0</v>
      </c>
      <c r="O106" s="25">
        <f t="shared" si="66"/>
        <v>0</v>
      </c>
      <c r="P106" s="25">
        <f>P107+P108</f>
        <v>2.42</v>
      </c>
      <c r="Q106" s="25">
        <f>Q107+Q108</f>
        <v>2.42</v>
      </c>
      <c r="R106" s="25"/>
      <c r="S106" s="25"/>
      <c r="T106" s="73"/>
    </row>
    <row r="107" spans="1:20" s="15" customFormat="1" ht="47.25" customHeight="1">
      <c r="A107" s="110"/>
      <c r="B107" s="110"/>
      <c r="C107" s="109" t="s">
        <v>132</v>
      </c>
      <c r="D107" s="23" t="s">
        <v>59</v>
      </c>
      <c r="E107" s="24" t="s">
        <v>109</v>
      </c>
      <c r="F107" s="24" t="s">
        <v>151</v>
      </c>
      <c r="G107" s="24" t="s">
        <v>134</v>
      </c>
      <c r="H107" s="25">
        <v>13.753</v>
      </c>
      <c r="I107" s="25">
        <v>13.753</v>
      </c>
      <c r="J107" s="25"/>
      <c r="K107" s="25"/>
      <c r="L107" s="25"/>
      <c r="M107" s="25"/>
      <c r="N107" s="25"/>
      <c r="O107" s="25"/>
      <c r="P107" s="25"/>
      <c r="Q107" s="25"/>
      <c r="R107" s="25"/>
      <c r="S107" s="25"/>
      <c r="T107" s="74"/>
    </row>
    <row r="108" spans="1:20" s="15" customFormat="1" ht="47.25" customHeight="1">
      <c r="A108" s="110"/>
      <c r="B108" s="110"/>
      <c r="C108" s="110"/>
      <c r="D108" s="23" t="s">
        <v>59</v>
      </c>
      <c r="E108" s="24" t="s">
        <v>109</v>
      </c>
      <c r="F108" s="24" t="s">
        <v>151</v>
      </c>
      <c r="G108" s="24" t="s">
        <v>570</v>
      </c>
      <c r="H108" s="25">
        <v>58.05218</v>
      </c>
      <c r="I108" s="25">
        <v>58.05218</v>
      </c>
      <c r="J108" s="25"/>
      <c r="K108" s="25"/>
      <c r="L108" s="25"/>
      <c r="M108" s="25"/>
      <c r="N108" s="25"/>
      <c r="O108" s="25"/>
      <c r="P108" s="25">
        <v>2.42</v>
      </c>
      <c r="Q108" s="25">
        <v>2.42</v>
      </c>
      <c r="R108" s="25"/>
      <c r="S108" s="25"/>
      <c r="T108" s="74"/>
    </row>
    <row r="109" spans="1:20" s="15" customFormat="1" ht="12.75" customHeight="1">
      <c r="A109" s="109" t="s">
        <v>604</v>
      </c>
      <c r="B109" s="109" t="s">
        <v>603</v>
      </c>
      <c r="C109" s="46" t="s">
        <v>57</v>
      </c>
      <c r="D109" s="23"/>
      <c r="E109" s="23"/>
      <c r="F109" s="23"/>
      <c r="G109" s="23"/>
      <c r="H109" s="25">
        <f>H110</f>
        <v>0</v>
      </c>
      <c r="I109" s="25">
        <f>I110</f>
        <v>0</v>
      </c>
      <c r="J109" s="25">
        <f t="shared" ref="J109:O110" si="67">J110</f>
        <v>0</v>
      </c>
      <c r="K109" s="25">
        <f t="shared" si="67"/>
        <v>0</v>
      </c>
      <c r="L109" s="25">
        <f t="shared" si="67"/>
        <v>0</v>
      </c>
      <c r="M109" s="25">
        <f t="shared" si="67"/>
        <v>0</v>
      </c>
      <c r="N109" s="25">
        <f t="shared" si="67"/>
        <v>50.7</v>
      </c>
      <c r="O109" s="25">
        <f t="shared" si="67"/>
        <v>50.7</v>
      </c>
      <c r="P109" s="25">
        <f>P110</f>
        <v>50.7</v>
      </c>
      <c r="Q109" s="25">
        <f>Q110</f>
        <v>50.7</v>
      </c>
      <c r="R109" s="25">
        <f t="shared" ref="R109:S110" si="68">R110</f>
        <v>0</v>
      </c>
      <c r="S109" s="25">
        <f t="shared" si="68"/>
        <v>0</v>
      </c>
      <c r="T109" s="73"/>
    </row>
    <row r="110" spans="1:20" s="15" customFormat="1" ht="13.2">
      <c r="A110" s="110"/>
      <c r="B110" s="110"/>
      <c r="C110" s="46" t="s">
        <v>131</v>
      </c>
      <c r="D110" s="23"/>
      <c r="E110" s="23"/>
      <c r="F110" s="23"/>
      <c r="G110" s="23"/>
      <c r="H110" s="25">
        <f>H111</f>
        <v>0</v>
      </c>
      <c r="I110" s="25">
        <f>I111</f>
        <v>0</v>
      </c>
      <c r="J110" s="25">
        <f t="shared" si="67"/>
        <v>0</v>
      </c>
      <c r="K110" s="25">
        <f t="shared" si="67"/>
        <v>0</v>
      </c>
      <c r="L110" s="25">
        <f t="shared" si="67"/>
        <v>0</v>
      </c>
      <c r="M110" s="25">
        <f t="shared" si="67"/>
        <v>0</v>
      </c>
      <c r="N110" s="25">
        <f t="shared" si="67"/>
        <v>50.7</v>
      </c>
      <c r="O110" s="25">
        <f t="shared" si="67"/>
        <v>50.7</v>
      </c>
      <c r="P110" s="25">
        <f>P111</f>
        <v>50.7</v>
      </c>
      <c r="Q110" s="25">
        <f>Q111</f>
        <v>50.7</v>
      </c>
      <c r="R110" s="25">
        <f t="shared" si="68"/>
        <v>0</v>
      </c>
      <c r="S110" s="25">
        <f t="shared" si="68"/>
        <v>0</v>
      </c>
      <c r="T110" s="73"/>
    </row>
    <row r="111" spans="1:20" s="15" customFormat="1" ht="167.25" customHeight="1">
      <c r="A111" s="110"/>
      <c r="B111" s="110"/>
      <c r="C111" s="45" t="s">
        <v>132</v>
      </c>
      <c r="D111" s="23" t="s">
        <v>59</v>
      </c>
      <c r="E111" s="24" t="s">
        <v>64</v>
      </c>
      <c r="F111" s="24" t="s">
        <v>602</v>
      </c>
      <c r="G111" s="24" t="s">
        <v>584</v>
      </c>
      <c r="H111" s="25"/>
      <c r="I111" s="25"/>
      <c r="J111" s="25"/>
      <c r="K111" s="25"/>
      <c r="L111" s="25"/>
      <c r="M111" s="25"/>
      <c r="N111" s="25">
        <v>50.7</v>
      </c>
      <c r="O111" s="25">
        <v>50.7</v>
      </c>
      <c r="P111" s="25">
        <v>50.7</v>
      </c>
      <c r="Q111" s="25">
        <v>50.7</v>
      </c>
      <c r="R111" s="25"/>
      <c r="S111" s="25"/>
      <c r="T111" s="75"/>
    </row>
    <row r="112" spans="1:20" s="22" customFormat="1" ht="30" customHeight="1">
      <c r="A112" s="133" t="s">
        <v>152</v>
      </c>
      <c r="B112" s="134"/>
      <c r="C112" s="17" t="s">
        <v>57</v>
      </c>
      <c r="D112" s="18"/>
      <c r="E112" s="18"/>
      <c r="F112" s="18"/>
      <c r="G112" s="18"/>
      <c r="H112" s="20">
        <f>H113</f>
        <v>65258.608999999997</v>
      </c>
      <c r="I112" s="20">
        <f>I113</f>
        <v>64259.610959999998</v>
      </c>
      <c r="J112" s="20">
        <f t="shared" ref="J112:O112" si="69">J113</f>
        <v>12732.36773</v>
      </c>
      <c r="K112" s="20">
        <f t="shared" si="69"/>
        <v>12573.91668</v>
      </c>
      <c r="L112" s="20">
        <f t="shared" si="69"/>
        <v>32075.238390000002</v>
      </c>
      <c r="M112" s="20">
        <f t="shared" si="69"/>
        <v>31944.741290000002</v>
      </c>
      <c r="N112" s="20">
        <f t="shared" si="69"/>
        <v>45512.086160000006</v>
      </c>
      <c r="O112" s="20">
        <f t="shared" si="69"/>
        <v>45365.926550000004</v>
      </c>
      <c r="P112" s="20">
        <f>P113</f>
        <v>73582.872000000003</v>
      </c>
      <c r="Q112" s="20">
        <f>Q113</f>
        <v>67268.795463000002</v>
      </c>
      <c r="R112" s="20">
        <f t="shared" ref="R112:S112" si="70">R113</f>
        <v>60841.617999999995</v>
      </c>
      <c r="S112" s="20">
        <f t="shared" si="70"/>
        <v>60841.617999999995</v>
      </c>
      <c r="T112" s="76"/>
    </row>
    <row r="113" spans="1:20" s="22" customFormat="1" ht="41.25" customHeight="1">
      <c r="A113" s="133"/>
      <c r="B113" s="134"/>
      <c r="C113" s="17" t="s">
        <v>153</v>
      </c>
      <c r="D113" s="18" t="s">
        <v>155</v>
      </c>
      <c r="E113" s="18"/>
      <c r="F113" s="18"/>
      <c r="G113" s="18"/>
      <c r="H113" s="19">
        <f>H114+H135+H162+H182</f>
        <v>65258.608999999997</v>
      </c>
      <c r="I113" s="19">
        <f>I114+I135+I162+I182</f>
        <v>64259.610959999998</v>
      </c>
      <c r="J113" s="19">
        <f t="shared" ref="J113:O113" si="71">J114+J135+J162+J182</f>
        <v>12732.36773</v>
      </c>
      <c r="K113" s="19">
        <f t="shared" si="71"/>
        <v>12573.91668</v>
      </c>
      <c r="L113" s="19">
        <f t="shared" si="71"/>
        <v>32075.238390000002</v>
      </c>
      <c r="M113" s="19">
        <f t="shared" si="71"/>
        <v>31944.741290000002</v>
      </c>
      <c r="N113" s="19">
        <f t="shared" si="71"/>
        <v>45512.086160000006</v>
      </c>
      <c r="O113" s="19">
        <f t="shared" si="71"/>
        <v>45365.926550000004</v>
      </c>
      <c r="P113" s="19">
        <f>P114+P135+P162+P182</f>
        <v>73582.872000000003</v>
      </c>
      <c r="Q113" s="19">
        <f>Q114+Q135+Q162+Q182</f>
        <v>67268.795463000002</v>
      </c>
      <c r="R113" s="19">
        <f t="shared" ref="R113:S113" si="72">R114+R135+R162+R182</f>
        <v>60841.617999999995</v>
      </c>
      <c r="S113" s="19">
        <f t="shared" si="72"/>
        <v>60841.617999999995</v>
      </c>
      <c r="T113" s="76"/>
    </row>
    <row r="114" spans="1:20" s="15" customFormat="1" ht="12.75" customHeight="1">
      <c r="A114" s="106" t="s">
        <v>154</v>
      </c>
      <c r="B114" s="11"/>
      <c r="C114" s="11" t="s">
        <v>57</v>
      </c>
      <c r="D114" s="23"/>
      <c r="E114" s="24"/>
      <c r="F114" s="24"/>
      <c r="G114" s="24"/>
      <c r="H114" s="25">
        <f>H115</f>
        <v>10015.845939999997</v>
      </c>
      <c r="I114" s="25">
        <f>I115</f>
        <v>10002.745939999997</v>
      </c>
      <c r="J114" s="25">
        <f t="shared" ref="J114:O114" si="73">J115</f>
        <v>1821.0790199999999</v>
      </c>
      <c r="K114" s="25">
        <f t="shared" si="73"/>
        <v>1821.0790199999999</v>
      </c>
      <c r="L114" s="25">
        <f t="shared" si="73"/>
        <v>4730.4215600000007</v>
      </c>
      <c r="M114" s="25">
        <f t="shared" si="73"/>
        <v>4690.4215600000007</v>
      </c>
      <c r="N114" s="25">
        <f t="shared" si="73"/>
        <v>7351.2744200000006</v>
      </c>
      <c r="O114" s="25">
        <f t="shared" si="73"/>
        <v>7351.2744200000006</v>
      </c>
      <c r="P114" s="25">
        <f>P115</f>
        <v>10500.660079999998</v>
      </c>
      <c r="Q114" s="25">
        <f>Q115</f>
        <v>10410.659079999998</v>
      </c>
      <c r="R114" s="25">
        <f t="shared" ref="R114:S114" si="74">R115</f>
        <v>9610.0189999999984</v>
      </c>
      <c r="S114" s="25">
        <f t="shared" si="74"/>
        <v>9610.0189999999984</v>
      </c>
      <c r="T114" s="73"/>
    </row>
    <row r="115" spans="1:20" s="15" customFormat="1" ht="38.25" customHeight="1">
      <c r="A115" s="106"/>
      <c r="B115" s="11"/>
      <c r="C115" s="109" t="s">
        <v>153</v>
      </c>
      <c r="D115" s="23" t="s">
        <v>155</v>
      </c>
      <c r="E115" s="24"/>
      <c r="F115" s="24"/>
      <c r="G115" s="24"/>
      <c r="H115" s="25">
        <f>SUM(H116:H134)</f>
        <v>10015.845939999997</v>
      </c>
      <c r="I115" s="25">
        <f>SUM(I116:I134)</f>
        <v>10002.745939999997</v>
      </c>
      <c r="J115" s="25">
        <f>SUM(J116:J134)</f>
        <v>1821.0790199999999</v>
      </c>
      <c r="K115" s="25">
        <f t="shared" ref="K115:O115" si="75">SUM(K116:K134)</f>
        <v>1821.0790199999999</v>
      </c>
      <c r="L115" s="25">
        <f t="shared" si="75"/>
        <v>4730.4215600000007</v>
      </c>
      <c r="M115" s="25">
        <f t="shared" si="75"/>
        <v>4690.4215600000007</v>
      </c>
      <c r="N115" s="25">
        <f t="shared" si="75"/>
        <v>7351.2744200000006</v>
      </c>
      <c r="O115" s="25">
        <f t="shared" si="75"/>
        <v>7351.2744200000006</v>
      </c>
      <c r="P115" s="25">
        <f>SUM(P116:P134)</f>
        <v>10500.660079999998</v>
      </c>
      <c r="Q115" s="25">
        <f>SUM(Q116:Q134)</f>
        <v>10410.659079999998</v>
      </c>
      <c r="R115" s="25">
        <f t="shared" ref="R115:S115" si="76">SUM(R116:R134)</f>
        <v>9610.0189999999984</v>
      </c>
      <c r="S115" s="25">
        <f t="shared" si="76"/>
        <v>9610.0189999999984</v>
      </c>
      <c r="T115" s="73"/>
    </row>
    <row r="116" spans="1:20" s="15" customFormat="1" ht="105.6">
      <c r="A116" s="106"/>
      <c r="B116" s="11" t="s">
        <v>30</v>
      </c>
      <c r="C116" s="110"/>
      <c r="D116" s="23" t="s">
        <v>155</v>
      </c>
      <c r="E116" s="24" t="s">
        <v>156</v>
      </c>
      <c r="F116" s="24" t="s">
        <v>157</v>
      </c>
      <c r="G116" s="24" t="s">
        <v>570</v>
      </c>
      <c r="H116" s="25">
        <f>22.878+323.01294</f>
        <v>345.89094</v>
      </c>
      <c r="I116" s="25">
        <f>22.878+323.01294</f>
        <v>345.89094</v>
      </c>
      <c r="J116" s="25">
        <v>20.811</v>
      </c>
      <c r="K116" s="25">
        <v>20.811</v>
      </c>
      <c r="L116" s="25">
        <v>41.622</v>
      </c>
      <c r="M116" s="25">
        <v>41.622</v>
      </c>
      <c r="N116" s="25">
        <f>26.371+127.948</f>
        <v>154.31899999999999</v>
      </c>
      <c r="O116" s="25">
        <f>26.371+127.948</f>
        <v>154.31899999999999</v>
      </c>
      <c r="P116" s="25">
        <f>213.574+168.06</f>
        <v>381.63400000000001</v>
      </c>
      <c r="Q116" s="25">
        <f>213.573+168.06</f>
        <v>381.63300000000004</v>
      </c>
      <c r="R116" s="25"/>
      <c r="S116" s="25"/>
      <c r="T116" s="73"/>
    </row>
    <row r="117" spans="1:20" s="15" customFormat="1" ht="105.6">
      <c r="A117" s="106"/>
      <c r="B117" s="11" t="s">
        <v>66</v>
      </c>
      <c r="C117" s="110"/>
      <c r="D117" s="23" t="s">
        <v>155</v>
      </c>
      <c r="E117" s="24" t="s">
        <v>156</v>
      </c>
      <c r="F117" s="24" t="s">
        <v>158</v>
      </c>
      <c r="G117" s="24" t="s">
        <v>63</v>
      </c>
      <c r="H117" s="25">
        <v>14.939</v>
      </c>
      <c r="I117" s="25">
        <v>14.939</v>
      </c>
      <c r="J117" s="25"/>
      <c r="K117" s="25"/>
      <c r="L117" s="25"/>
      <c r="M117" s="25"/>
      <c r="N117" s="25"/>
      <c r="O117" s="25"/>
      <c r="P117" s="25"/>
      <c r="Q117" s="25"/>
      <c r="R117" s="25"/>
      <c r="S117" s="25"/>
      <c r="T117" s="73"/>
    </row>
    <row r="118" spans="1:20" s="15" customFormat="1" ht="132">
      <c r="A118" s="106"/>
      <c r="B118" s="48" t="s">
        <v>572</v>
      </c>
      <c r="C118" s="110"/>
      <c r="D118" s="23" t="s">
        <v>155</v>
      </c>
      <c r="E118" s="24" t="s">
        <v>156</v>
      </c>
      <c r="F118" s="24" t="s">
        <v>606</v>
      </c>
      <c r="G118" s="24" t="s">
        <v>570</v>
      </c>
      <c r="H118" s="25"/>
      <c r="I118" s="25"/>
      <c r="J118" s="25"/>
      <c r="K118" s="25"/>
      <c r="L118" s="25">
        <v>22.146999999999998</v>
      </c>
      <c r="M118" s="25">
        <v>22.146999999999998</v>
      </c>
      <c r="N118" s="25">
        <v>24.835000000000001</v>
      </c>
      <c r="O118" s="25">
        <v>24.835000000000001</v>
      </c>
      <c r="P118" s="25">
        <v>32.798999999999999</v>
      </c>
      <c r="Q118" s="25">
        <v>32.798999999999999</v>
      </c>
      <c r="R118" s="25"/>
      <c r="S118" s="25"/>
      <c r="T118" s="73"/>
    </row>
    <row r="119" spans="1:20" s="15" customFormat="1" ht="52.8">
      <c r="A119" s="106"/>
      <c r="B119" s="48" t="s">
        <v>611</v>
      </c>
      <c r="C119" s="110"/>
      <c r="D119" s="23" t="s">
        <v>155</v>
      </c>
      <c r="E119" s="24" t="s">
        <v>156</v>
      </c>
      <c r="F119" s="24" t="s">
        <v>607</v>
      </c>
      <c r="G119" s="24" t="s">
        <v>609</v>
      </c>
      <c r="H119" s="25"/>
      <c r="I119" s="25"/>
      <c r="J119" s="25"/>
      <c r="K119" s="25"/>
      <c r="L119" s="25"/>
      <c r="M119" s="25"/>
      <c r="N119" s="25"/>
      <c r="O119" s="25"/>
      <c r="P119" s="25">
        <v>90</v>
      </c>
      <c r="Q119" s="25">
        <v>0</v>
      </c>
      <c r="R119" s="25"/>
      <c r="S119" s="25"/>
      <c r="T119" s="77" t="s">
        <v>610</v>
      </c>
    </row>
    <row r="120" spans="1:20" s="15" customFormat="1" ht="66">
      <c r="A120" s="106"/>
      <c r="B120" s="48" t="s">
        <v>613</v>
      </c>
      <c r="C120" s="110"/>
      <c r="D120" s="23" t="s">
        <v>155</v>
      </c>
      <c r="E120" s="24" t="s">
        <v>156</v>
      </c>
      <c r="F120" s="24" t="s">
        <v>608</v>
      </c>
      <c r="G120" s="24" t="s">
        <v>570</v>
      </c>
      <c r="H120" s="25"/>
      <c r="I120" s="25"/>
      <c r="J120" s="25"/>
      <c r="K120" s="25"/>
      <c r="L120" s="25"/>
      <c r="M120" s="25"/>
      <c r="N120" s="25"/>
      <c r="O120" s="25"/>
      <c r="P120" s="25">
        <v>17.2</v>
      </c>
      <c r="Q120" s="25">
        <v>17.2</v>
      </c>
      <c r="R120" s="25">
        <v>19.100000000000001</v>
      </c>
      <c r="S120" s="25">
        <v>19.100000000000001</v>
      </c>
      <c r="T120" s="73"/>
    </row>
    <row r="121" spans="1:20" s="15" customFormat="1" ht="52.8">
      <c r="A121" s="106"/>
      <c r="B121" s="11" t="s">
        <v>159</v>
      </c>
      <c r="C121" s="110"/>
      <c r="D121" s="23" t="s">
        <v>155</v>
      </c>
      <c r="E121" s="24" t="s">
        <v>156</v>
      </c>
      <c r="F121" s="24" t="s">
        <v>160</v>
      </c>
      <c r="G121" s="24" t="s">
        <v>161</v>
      </c>
      <c r="H121" s="25">
        <v>24</v>
      </c>
      <c r="I121" s="25">
        <v>15</v>
      </c>
      <c r="J121" s="25"/>
      <c r="K121" s="25"/>
      <c r="L121" s="25"/>
      <c r="M121" s="25"/>
      <c r="N121" s="25"/>
      <c r="O121" s="25"/>
      <c r="P121" s="25"/>
      <c r="Q121" s="25"/>
      <c r="R121" s="25"/>
      <c r="S121" s="25"/>
      <c r="T121" s="75"/>
    </row>
    <row r="122" spans="1:20" s="15" customFormat="1" ht="39.6">
      <c r="A122" s="106"/>
      <c r="B122" s="48" t="s">
        <v>184</v>
      </c>
      <c r="C122" s="110"/>
      <c r="D122" s="23" t="s">
        <v>155</v>
      </c>
      <c r="E122" s="24" t="s">
        <v>156</v>
      </c>
      <c r="F122" s="24" t="s">
        <v>612</v>
      </c>
      <c r="G122" s="24" t="s">
        <v>466</v>
      </c>
      <c r="H122" s="25"/>
      <c r="I122" s="25"/>
      <c r="J122" s="25"/>
      <c r="K122" s="25"/>
      <c r="L122" s="25"/>
      <c r="M122" s="25"/>
      <c r="N122" s="25">
        <v>100</v>
      </c>
      <c r="O122" s="25">
        <v>100</v>
      </c>
      <c r="P122" s="25">
        <v>100</v>
      </c>
      <c r="Q122" s="25">
        <v>100</v>
      </c>
      <c r="R122" s="25"/>
      <c r="S122" s="25"/>
      <c r="T122" s="73"/>
    </row>
    <row r="123" spans="1:20" s="15" customFormat="1" ht="79.2">
      <c r="A123" s="106"/>
      <c r="B123" s="11" t="s">
        <v>162</v>
      </c>
      <c r="C123" s="110"/>
      <c r="D123" s="23" t="s">
        <v>155</v>
      </c>
      <c r="E123" s="24" t="s">
        <v>156</v>
      </c>
      <c r="F123" s="24" t="s">
        <v>163</v>
      </c>
      <c r="G123" s="24" t="s">
        <v>63</v>
      </c>
      <c r="H123" s="25">
        <v>75.5</v>
      </c>
      <c r="I123" s="25">
        <v>75.5</v>
      </c>
      <c r="J123" s="25"/>
      <c r="K123" s="25"/>
      <c r="L123" s="25"/>
      <c r="M123" s="25"/>
      <c r="N123" s="25"/>
      <c r="O123" s="25"/>
      <c r="P123" s="25"/>
      <c r="Q123" s="25"/>
      <c r="R123" s="25"/>
      <c r="S123" s="25"/>
      <c r="T123" s="73"/>
    </row>
    <row r="124" spans="1:20" s="15" customFormat="1" ht="52.8">
      <c r="A124" s="106"/>
      <c r="B124" s="11" t="s">
        <v>164</v>
      </c>
      <c r="C124" s="110"/>
      <c r="D124" s="23" t="s">
        <v>155</v>
      </c>
      <c r="E124" s="24" t="s">
        <v>156</v>
      </c>
      <c r="F124" s="24" t="s">
        <v>165</v>
      </c>
      <c r="G124" s="24" t="s">
        <v>570</v>
      </c>
      <c r="H124" s="25">
        <v>120.5</v>
      </c>
      <c r="I124" s="25">
        <v>120.5</v>
      </c>
      <c r="J124" s="25"/>
      <c r="K124" s="25"/>
      <c r="L124" s="25"/>
      <c r="M124" s="25"/>
      <c r="N124" s="25">
        <v>131.9</v>
      </c>
      <c r="O124" s="25">
        <v>131.9</v>
      </c>
      <c r="P124" s="25">
        <v>288.3</v>
      </c>
      <c r="Q124" s="25">
        <v>288.3</v>
      </c>
      <c r="R124" s="25"/>
      <c r="S124" s="25"/>
      <c r="T124" s="73"/>
    </row>
    <row r="125" spans="1:20" s="15" customFormat="1" ht="92.4">
      <c r="A125" s="106"/>
      <c r="B125" s="48" t="s">
        <v>581</v>
      </c>
      <c r="C125" s="110"/>
      <c r="D125" s="23" t="s">
        <v>155</v>
      </c>
      <c r="E125" s="24" t="s">
        <v>156</v>
      </c>
      <c r="F125" s="24" t="s">
        <v>614</v>
      </c>
      <c r="G125" s="24" t="s">
        <v>573</v>
      </c>
      <c r="H125" s="25"/>
      <c r="I125" s="25"/>
      <c r="J125" s="25"/>
      <c r="K125" s="25"/>
      <c r="L125" s="25"/>
      <c r="M125" s="25"/>
      <c r="N125" s="25"/>
      <c r="O125" s="25"/>
      <c r="P125" s="25">
        <v>111.613</v>
      </c>
      <c r="Q125" s="25">
        <v>111.613</v>
      </c>
      <c r="R125" s="25"/>
      <c r="S125" s="25"/>
      <c r="T125" s="73"/>
    </row>
    <row r="126" spans="1:20" s="15" customFormat="1" ht="39.6">
      <c r="A126" s="106"/>
      <c r="B126" s="11" t="s">
        <v>40</v>
      </c>
      <c r="C126" s="110"/>
      <c r="D126" s="23" t="s">
        <v>155</v>
      </c>
      <c r="E126" s="24" t="s">
        <v>156</v>
      </c>
      <c r="F126" s="24" t="s">
        <v>166</v>
      </c>
      <c r="G126" s="24" t="s">
        <v>570</v>
      </c>
      <c r="H126" s="25">
        <v>8907.7610000000004</v>
      </c>
      <c r="I126" s="25">
        <v>8907.7610000000004</v>
      </c>
      <c r="J126" s="25">
        <v>1800.26802</v>
      </c>
      <c r="K126" s="25">
        <v>1800.26802</v>
      </c>
      <c r="L126" s="25">
        <v>4615.3525600000003</v>
      </c>
      <c r="M126" s="25">
        <v>4615.3525600000003</v>
      </c>
      <c r="N126" s="25">
        <v>6786.25342</v>
      </c>
      <c r="O126" s="25">
        <v>6786.25342</v>
      </c>
      <c r="P126" s="25">
        <v>9277.9989999999998</v>
      </c>
      <c r="Q126" s="25">
        <v>9277.9989999999998</v>
      </c>
      <c r="R126" s="25">
        <f>9417.135+58.667</f>
        <v>9475.8019999999997</v>
      </c>
      <c r="S126" s="25">
        <f>9417.135+58.667</f>
        <v>9475.8019999999997</v>
      </c>
      <c r="T126" s="73"/>
    </row>
    <row r="127" spans="1:20" s="15" customFormat="1" ht="39.6">
      <c r="A127" s="106"/>
      <c r="B127" s="11" t="s">
        <v>39</v>
      </c>
      <c r="C127" s="110"/>
      <c r="D127" s="23" t="s">
        <v>155</v>
      </c>
      <c r="E127" s="24" t="s">
        <v>156</v>
      </c>
      <c r="F127" s="24" t="s">
        <v>167</v>
      </c>
      <c r="G127" s="24" t="s">
        <v>573</v>
      </c>
      <c r="H127" s="25">
        <v>12.8</v>
      </c>
      <c r="I127" s="25">
        <v>12.8</v>
      </c>
      <c r="J127" s="25"/>
      <c r="K127" s="25"/>
      <c r="L127" s="25"/>
      <c r="M127" s="25"/>
      <c r="N127" s="25">
        <v>58.667000000000002</v>
      </c>
      <c r="O127" s="25">
        <v>58.667000000000002</v>
      </c>
      <c r="P127" s="25">
        <v>58.667000000000002</v>
      </c>
      <c r="Q127" s="25">
        <v>58.667000000000002</v>
      </c>
      <c r="R127" s="25">
        <v>58.667000000000002</v>
      </c>
      <c r="S127" s="25">
        <v>58.667000000000002</v>
      </c>
      <c r="T127" s="73"/>
    </row>
    <row r="128" spans="1:20" s="15" customFormat="1" ht="39.6">
      <c r="A128" s="106"/>
      <c r="B128" s="11" t="s">
        <v>168</v>
      </c>
      <c r="C128" s="110"/>
      <c r="D128" s="23" t="s">
        <v>155</v>
      </c>
      <c r="E128" s="24" t="s">
        <v>75</v>
      </c>
      <c r="F128" s="24" t="s">
        <v>169</v>
      </c>
      <c r="G128" s="24" t="s">
        <v>573</v>
      </c>
      <c r="H128" s="25">
        <v>11.3</v>
      </c>
      <c r="I128" s="25">
        <v>11.3</v>
      </c>
      <c r="J128" s="25"/>
      <c r="K128" s="25"/>
      <c r="L128" s="25">
        <v>11.3</v>
      </c>
      <c r="M128" s="25">
        <v>11.3</v>
      </c>
      <c r="N128" s="25">
        <v>11.3</v>
      </c>
      <c r="O128" s="25">
        <v>11.3</v>
      </c>
      <c r="P128" s="25">
        <v>11.3</v>
      </c>
      <c r="Q128" s="25">
        <v>11.3</v>
      </c>
      <c r="R128" s="25">
        <v>11.3</v>
      </c>
      <c r="S128" s="25">
        <v>11.3</v>
      </c>
      <c r="T128" s="73"/>
    </row>
    <row r="129" spans="1:20" s="15" customFormat="1" ht="26.4">
      <c r="A129" s="106"/>
      <c r="B129" s="11" t="s">
        <v>170</v>
      </c>
      <c r="C129" s="110"/>
      <c r="D129" s="23" t="s">
        <v>155</v>
      </c>
      <c r="E129" s="24" t="s">
        <v>156</v>
      </c>
      <c r="F129" s="24" t="s">
        <v>171</v>
      </c>
      <c r="G129" s="24" t="s">
        <v>573</v>
      </c>
      <c r="H129" s="25">
        <v>5.15</v>
      </c>
      <c r="I129" s="25">
        <v>5.15</v>
      </c>
      <c r="J129" s="25"/>
      <c r="K129" s="25"/>
      <c r="L129" s="25"/>
      <c r="M129" s="25"/>
      <c r="N129" s="25"/>
      <c r="O129" s="25"/>
      <c r="P129" s="25">
        <v>5.15</v>
      </c>
      <c r="Q129" s="25">
        <v>5.15</v>
      </c>
      <c r="R129" s="25">
        <v>5.15</v>
      </c>
      <c r="S129" s="25">
        <v>5.15</v>
      </c>
      <c r="T129" s="73"/>
    </row>
    <row r="130" spans="1:20" s="15" customFormat="1" ht="26.4">
      <c r="A130" s="106"/>
      <c r="B130" s="11" t="s">
        <v>172</v>
      </c>
      <c r="C130" s="110"/>
      <c r="D130" s="23" t="s">
        <v>155</v>
      </c>
      <c r="E130" s="24" t="s">
        <v>156</v>
      </c>
      <c r="F130" s="24" t="s">
        <v>173</v>
      </c>
      <c r="G130" s="24" t="s">
        <v>63</v>
      </c>
      <c r="H130" s="25">
        <v>130</v>
      </c>
      <c r="I130" s="25">
        <v>130</v>
      </c>
      <c r="J130" s="25"/>
      <c r="K130" s="25"/>
      <c r="L130" s="25"/>
      <c r="M130" s="25"/>
      <c r="N130" s="25"/>
      <c r="O130" s="25"/>
      <c r="P130" s="25"/>
      <c r="Q130" s="25"/>
      <c r="R130" s="25"/>
      <c r="S130" s="25"/>
      <c r="T130" s="73"/>
    </row>
    <row r="131" spans="1:20" s="15" customFormat="1" ht="52.8">
      <c r="A131" s="106"/>
      <c r="B131" s="11" t="s">
        <v>174</v>
      </c>
      <c r="C131" s="110"/>
      <c r="D131" s="23" t="s">
        <v>155</v>
      </c>
      <c r="E131" s="24" t="s">
        <v>156</v>
      </c>
      <c r="F131" s="24" t="s">
        <v>175</v>
      </c>
      <c r="G131" s="24" t="s">
        <v>573</v>
      </c>
      <c r="H131" s="25">
        <v>319</v>
      </c>
      <c r="I131" s="25">
        <v>314.89999999999998</v>
      </c>
      <c r="J131" s="25"/>
      <c r="K131" s="25"/>
      <c r="L131" s="25">
        <v>40</v>
      </c>
      <c r="M131" s="25"/>
      <c r="N131" s="25">
        <v>40</v>
      </c>
      <c r="O131" s="25">
        <v>40</v>
      </c>
      <c r="P131" s="25">
        <v>40</v>
      </c>
      <c r="Q131" s="25">
        <v>40</v>
      </c>
      <c r="R131" s="25">
        <v>40</v>
      </c>
      <c r="S131" s="25">
        <v>40</v>
      </c>
      <c r="T131" s="75"/>
    </row>
    <row r="132" spans="1:20" s="15" customFormat="1" ht="118.8">
      <c r="A132" s="106"/>
      <c r="B132" s="48" t="s">
        <v>585</v>
      </c>
      <c r="C132" s="110"/>
      <c r="D132" s="23" t="s">
        <v>155</v>
      </c>
      <c r="E132" s="24" t="s">
        <v>156</v>
      </c>
      <c r="F132" s="24" t="s">
        <v>615</v>
      </c>
      <c r="G132" s="24" t="s">
        <v>573</v>
      </c>
      <c r="H132" s="25"/>
      <c r="I132" s="25"/>
      <c r="J132" s="25"/>
      <c r="K132" s="25"/>
      <c r="L132" s="25"/>
      <c r="M132" s="25"/>
      <c r="N132" s="25"/>
      <c r="O132" s="25"/>
      <c r="P132" s="25">
        <v>2.69808</v>
      </c>
      <c r="Q132" s="25">
        <v>2.69808</v>
      </c>
      <c r="R132" s="25"/>
      <c r="S132" s="25"/>
      <c r="T132" s="75"/>
    </row>
    <row r="133" spans="1:20" s="15" customFormat="1" ht="66">
      <c r="A133" s="106"/>
      <c r="B133" s="11" t="s">
        <v>176</v>
      </c>
      <c r="C133" s="110"/>
      <c r="D133" s="23" t="s">
        <v>155</v>
      </c>
      <c r="E133" s="24" t="s">
        <v>156</v>
      </c>
      <c r="F133" s="24" t="s">
        <v>177</v>
      </c>
      <c r="G133" s="24" t="s">
        <v>570</v>
      </c>
      <c r="H133" s="25">
        <v>30.13</v>
      </c>
      <c r="I133" s="25">
        <v>30.13</v>
      </c>
      <c r="J133" s="25"/>
      <c r="K133" s="25"/>
      <c r="L133" s="25"/>
      <c r="M133" s="25"/>
      <c r="N133" s="25">
        <v>44</v>
      </c>
      <c r="O133" s="25">
        <v>44</v>
      </c>
      <c r="P133" s="25">
        <v>83.3</v>
      </c>
      <c r="Q133" s="25">
        <v>83.3</v>
      </c>
      <c r="R133" s="25"/>
      <c r="S133" s="25"/>
      <c r="T133" s="73"/>
    </row>
    <row r="134" spans="1:20" s="15" customFormat="1" ht="39.6">
      <c r="A134" s="106"/>
      <c r="B134" s="11" t="s">
        <v>178</v>
      </c>
      <c r="C134" s="110"/>
      <c r="D134" s="23" t="s">
        <v>155</v>
      </c>
      <c r="E134" s="24" t="s">
        <v>156</v>
      </c>
      <c r="F134" s="24" t="s">
        <v>179</v>
      </c>
      <c r="G134" s="24" t="s">
        <v>63</v>
      </c>
      <c r="H134" s="25">
        <v>18.875</v>
      </c>
      <c r="I134" s="25">
        <v>18.875</v>
      </c>
      <c r="J134" s="25"/>
      <c r="K134" s="25"/>
      <c r="L134" s="25"/>
      <c r="M134" s="25"/>
      <c r="N134" s="25"/>
      <c r="O134" s="25"/>
      <c r="P134" s="25"/>
      <c r="Q134" s="25"/>
      <c r="R134" s="25"/>
      <c r="S134" s="25"/>
      <c r="T134" s="73"/>
    </row>
    <row r="135" spans="1:20" s="15" customFormat="1" ht="23.25" customHeight="1">
      <c r="A135" s="109" t="s">
        <v>180</v>
      </c>
      <c r="B135" s="11"/>
      <c r="C135" s="11" t="s">
        <v>57</v>
      </c>
      <c r="D135" s="23"/>
      <c r="E135" s="24"/>
      <c r="F135" s="24"/>
      <c r="G135" s="24"/>
      <c r="H135" s="25">
        <f>H136</f>
        <v>27723.030869999999</v>
      </c>
      <c r="I135" s="25">
        <f>I136</f>
        <v>26797.128220000002</v>
      </c>
      <c r="J135" s="25">
        <f t="shared" ref="J135:O135" si="77">J136</f>
        <v>5167.2599099999998</v>
      </c>
      <c r="K135" s="25">
        <f t="shared" si="77"/>
        <v>5167.2599099999998</v>
      </c>
      <c r="L135" s="25">
        <f t="shared" si="77"/>
        <v>11248.567279999999</v>
      </c>
      <c r="M135" s="25">
        <f t="shared" si="77"/>
        <v>11248.567279999999</v>
      </c>
      <c r="N135" s="25">
        <f t="shared" si="77"/>
        <v>17509.163629999999</v>
      </c>
      <c r="O135" s="25">
        <f t="shared" si="77"/>
        <v>17496.352329999998</v>
      </c>
      <c r="P135" s="25">
        <f>P136</f>
        <v>33582.108410000001</v>
      </c>
      <c r="Q135" s="25">
        <f>Q136</f>
        <v>27419.0723</v>
      </c>
      <c r="R135" s="25">
        <f t="shared" ref="R135:S135" si="78">R136</f>
        <v>23083.699000000004</v>
      </c>
      <c r="S135" s="25">
        <f t="shared" si="78"/>
        <v>23083.699000000004</v>
      </c>
      <c r="T135" s="73"/>
    </row>
    <row r="136" spans="1:20" s="15" customFormat="1" ht="38.25" customHeight="1">
      <c r="A136" s="110"/>
      <c r="B136" s="11"/>
      <c r="C136" s="109" t="s">
        <v>153</v>
      </c>
      <c r="D136" s="23"/>
      <c r="E136" s="24"/>
      <c r="F136" s="24"/>
      <c r="G136" s="24"/>
      <c r="H136" s="25">
        <f t="shared" ref="H136:O136" si="79">SUM(H137:H161)</f>
        <v>27723.030869999999</v>
      </c>
      <c r="I136" s="25">
        <f t="shared" si="79"/>
        <v>26797.128220000002</v>
      </c>
      <c r="J136" s="25">
        <f t="shared" si="79"/>
        <v>5167.2599099999998</v>
      </c>
      <c r="K136" s="25">
        <f t="shared" si="79"/>
        <v>5167.2599099999998</v>
      </c>
      <c r="L136" s="25">
        <f t="shared" si="79"/>
        <v>11248.567279999999</v>
      </c>
      <c r="M136" s="25">
        <f t="shared" si="79"/>
        <v>11248.567279999999</v>
      </c>
      <c r="N136" s="25">
        <f t="shared" si="79"/>
        <v>17509.163629999999</v>
      </c>
      <c r="O136" s="25">
        <f t="shared" si="79"/>
        <v>17496.352329999998</v>
      </c>
      <c r="P136" s="25">
        <f>SUM(P137:P161)</f>
        <v>33582.108410000001</v>
      </c>
      <c r="Q136" s="25">
        <f>SUM(Q137:Q161)</f>
        <v>27419.0723</v>
      </c>
      <c r="R136" s="25">
        <f t="shared" ref="R136:S136" si="80">SUM(R137:R159)</f>
        <v>23083.699000000004</v>
      </c>
      <c r="S136" s="25">
        <f t="shared" si="80"/>
        <v>23083.699000000004</v>
      </c>
      <c r="T136" s="73"/>
    </row>
    <row r="137" spans="1:20" s="15" customFormat="1" ht="105.6">
      <c r="A137" s="110"/>
      <c r="B137" s="11" t="s">
        <v>30</v>
      </c>
      <c r="C137" s="110"/>
      <c r="D137" s="23" t="s">
        <v>155</v>
      </c>
      <c r="E137" s="24" t="s">
        <v>156</v>
      </c>
      <c r="F137" s="24" t="s">
        <v>181</v>
      </c>
      <c r="G137" s="24" t="s">
        <v>570</v>
      </c>
      <c r="H137" s="25">
        <f>79.28445+713.99381</f>
        <v>793.27826000000005</v>
      </c>
      <c r="I137" s="25">
        <f>79.28445+713.99381</f>
        <v>793.27826000000005</v>
      </c>
      <c r="J137" s="25">
        <v>137.93</v>
      </c>
      <c r="K137" s="25">
        <v>137.93</v>
      </c>
      <c r="L137" s="25">
        <v>286.65800000000002</v>
      </c>
      <c r="M137" s="25">
        <v>286.65800000000002</v>
      </c>
      <c r="N137" s="25">
        <f>161.468+522.502</f>
        <v>683.96999999999991</v>
      </c>
      <c r="O137" s="25">
        <f>161.468+522.502</f>
        <v>683.96999999999991</v>
      </c>
      <c r="P137" s="25">
        <f>584.25+661.311</f>
        <v>1245.5610000000001</v>
      </c>
      <c r="Q137" s="25">
        <f>584.25+661.311</f>
        <v>1245.5610000000001</v>
      </c>
      <c r="R137" s="25"/>
      <c r="S137" s="25"/>
      <c r="T137" s="73"/>
    </row>
    <row r="138" spans="1:20" s="15" customFormat="1" ht="105.6">
      <c r="A138" s="110"/>
      <c r="B138" s="11" t="s">
        <v>66</v>
      </c>
      <c r="C138" s="110"/>
      <c r="D138" s="23" t="s">
        <v>155</v>
      </c>
      <c r="E138" s="24" t="s">
        <v>156</v>
      </c>
      <c r="F138" s="24" t="s">
        <v>182</v>
      </c>
      <c r="G138" s="24" t="s">
        <v>63</v>
      </c>
      <c r="H138" s="25">
        <v>73.703999999999994</v>
      </c>
      <c r="I138" s="25">
        <v>73.703999999999994</v>
      </c>
      <c r="J138" s="25"/>
      <c r="K138" s="25"/>
      <c r="L138" s="25"/>
      <c r="M138" s="25"/>
      <c r="N138" s="25"/>
      <c r="O138" s="25"/>
      <c r="P138" s="25"/>
      <c r="Q138" s="25"/>
      <c r="R138" s="25"/>
      <c r="S138" s="25"/>
      <c r="T138" s="73"/>
    </row>
    <row r="139" spans="1:20" s="15" customFormat="1" ht="52.8">
      <c r="A139" s="110"/>
      <c r="B139" s="11" t="s">
        <v>68</v>
      </c>
      <c r="C139" s="110"/>
      <c r="D139" s="23" t="s">
        <v>155</v>
      </c>
      <c r="E139" s="24" t="s">
        <v>156</v>
      </c>
      <c r="F139" s="24" t="s">
        <v>183</v>
      </c>
      <c r="G139" s="24" t="s">
        <v>570</v>
      </c>
      <c r="H139" s="25">
        <f>5.838+25.595</f>
        <v>31.433</v>
      </c>
      <c r="I139" s="25">
        <f>5.838+25.595</f>
        <v>31.433</v>
      </c>
      <c r="J139" s="25">
        <v>8.7579999999999991</v>
      </c>
      <c r="K139" s="25">
        <v>8.7579999999999991</v>
      </c>
      <c r="L139" s="25">
        <v>90.972999999999999</v>
      </c>
      <c r="M139" s="25">
        <v>90.972999999999999</v>
      </c>
      <c r="N139" s="25">
        <v>115.459</v>
      </c>
      <c r="O139" s="25">
        <v>115.459</v>
      </c>
      <c r="P139" s="25">
        <v>176.67400000000001</v>
      </c>
      <c r="Q139" s="25">
        <v>176.67400000000001</v>
      </c>
      <c r="R139" s="25"/>
      <c r="S139" s="25"/>
      <c r="T139" s="73"/>
    </row>
    <row r="140" spans="1:20" s="15" customFormat="1" ht="27" customHeight="1">
      <c r="A140" s="110"/>
      <c r="B140" s="109" t="s">
        <v>184</v>
      </c>
      <c r="C140" s="110"/>
      <c r="D140" s="23" t="s">
        <v>155</v>
      </c>
      <c r="E140" s="24" t="s">
        <v>156</v>
      </c>
      <c r="F140" s="24" t="s">
        <v>185</v>
      </c>
      <c r="G140" s="24" t="s">
        <v>63</v>
      </c>
      <c r="H140" s="25">
        <v>100</v>
      </c>
      <c r="I140" s="25">
        <v>100</v>
      </c>
      <c r="J140" s="25"/>
      <c r="K140" s="25"/>
      <c r="L140" s="25"/>
      <c r="M140" s="25"/>
      <c r="N140" s="25"/>
      <c r="O140" s="25"/>
      <c r="P140" s="25"/>
      <c r="Q140" s="25"/>
      <c r="R140" s="25"/>
      <c r="S140" s="25"/>
      <c r="T140" s="73"/>
    </row>
    <row r="141" spans="1:20" s="15" customFormat="1" ht="13.2">
      <c r="A141" s="110"/>
      <c r="B141" s="111"/>
      <c r="C141" s="110"/>
      <c r="D141" s="23" t="s">
        <v>155</v>
      </c>
      <c r="E141" s="24" t="s">
        <v>186</v>
      </c>
      <c r="F141" s="24" t="s">
        <v>185</v>
      </c>
      <c r="G141" s="24" t="s">
        <v>161</v>
      </c>
      <c r="H141" s="25">
        <v>100</v>
      </c>
      <c r="I141" s="25">
        <v>100</v>
      </c>
      <c r="J141" s="25"/>
      <c r="K141" s="25"/>
      <c r="L141" s="25"/>
      <c r="M141" s="25"/>
      <c r="N141" s="25"/>
      <c r="O141" s="25"/>
      <c r="P141" s="25"/>
      <c r="Q141" s="25"/>
      <c r="R141" s="25"/>
      <c r="S141" s="25"/>
      <c r="T141" s="73"/>
    </row>
    <row r="142" spans="1:20" s="15" customFormat="1" ht="66">
      <c r="A142" s="110"/>
      <c r="B142" s="11" t="s">
        <v>187</v>
      </c>
      <c r="C142" s="110"/>
      <c r="D142" s="23" t="s">
        <v>155</v>
      </c>
      <c r="E142" s="24" t="s">
        <v>186</v>
      </c>
      <c r="F142" s="24" t="s">
        <v>188</v>
      </c>
      <c r="G142" s="24" t="s">
        <v>161</v>
      </c>
      <c r="H142" s="25">
        <v>50</v>
      </c>
      <c r="I142" s="25">
        <v>50</v>
      </c>
      <c r="J142" s="25"/>
      <c r="K142" s="25"/>
      <c r="L142" s="25"/>
      <c r="M142" s="25"/>
      <c r="N142" s="25"/>
      <c r="O142" s="25"/>
      <c r="P142" s="25"/>
      <c r="Q142" s="25"/>
      <c r="R142" s="25"/>
      <c r="S142" s="25"/>
      <c r="T142" s="73"/>
    </row>
    <row r="143" spans="1:20" s="15" customFormat="1" ht="39.6">
      <c r="A143" s="110"/>
      <c r="B143" s="48" t="s">
        <v>617</v>
      </c>
      <c r="C143" s="110"/>
      <c r="D143" s="23" t="s">
        <v>155</v>
      </c>
      <c r="E143" s="24" t="s">
        <v>351</v>
      </c>
      <c r="F143" s="24" t="s">
        <v>616</v>
      </c>
      <c r="G143" s="24" t="s">
        <v>584</v>
      </c>
      <c r="H143" s="25"/>
      <c r="I143" s="25"/>
      <c r="J143" s="25"/>
      <c r="K143" s="25"/>
      <c r="L143" s="25"/>
      <c r="M143" s="25"/>
      <c r="N143" s="25"/>
      <c r="O143" s="25"/>
      <c r="P143" s="25">
        <v>1982.35</v>
      </c>
      <c r="Q143" s="25">
        <v>1882.3489999999999</v>
      </c>
      <c r="R143" s="25"/>
      <c r="S143" s="25"/>
      <c r="T143" s="74" t="s">
        <v>723</v>
      </c>
    </row>
    <row r="144" spans="1:20" s="15" customFormat="1" ht="66">
      <c r="A144" s="110"/>
      <c r="B144" s="11" t="s">
        <v>189</v>
      </c>
      <c r="C144" s="110"/>
      <c r="D144" s="23" t="s">
        <v>155</v>
      </c>
      <c r="E144" s="24" t="s">
        <v>186</v>
      </c>
      <c r="F144" s="24" t="s">
        <v>190</v>
      </c>
      <c r="G144" s="24" t="s">
        <v>573</v>
      </c>
      <c r="H144" s="25">
        <v>500</v>
      </c>
      <c r="I144" s="25">
        <v>500</v>
      </c>
      <c r="J144" s="25"/>
      <c r="K144" s="25"/>
      <c r="L144" s="25"/>
      <c r="M144" s="25"/>
      <c r="N144" s="25">
        <v>200</v>
      </c>
      <c r="O144" s="25">
        <v>200</v>
      </c>
      <c r="P144" s="25">
        <v>200</v>
      </c>
      <c r="Q144" s="25">
        <v>200</v>
      </c>
      <c r="R144" s="25"/>
      <c r="S144" s="25"/>
      <c r="T144" s="73"/>
    </row>
    <row r="145" spans="1:20" s="15" customFormat="1" ht="158.4">
      <c r="A145" s="110"/>
      <c r="B145" s="48" t="s">
        <v>621</v>
      </c>
      <c r="C145" s="110"/>
      <c r="D145" s="23" t="s">
        <v>155</v>
      </c>
      <c r="E145" s="24" t="s">
        <v>156</v>
      </c>
      <c r="F145" s="24" t="s">
        <v>618</v>
      </c>
      <c r="G145" s="24" t="s">
        <v>619</v>
      </c>
      <c r="H145" s="25"/>
      <c r="I145" s="25"/>
      <c r="J145" s="25"/>
      <c r="K145" s="25"/>
      <c r="L145" s="25"/>
      <c r="M145" s="25"/>
      <c r="N145" s="25"/>
      <c r="O145" s="25"/>
      <c r="P145" s="25">
        <v>5021.28</v>
      </c>
      <c r="Q145" s="25">
        <v>0</v>
      </c>
      <c r="R145" s="25"/>
      <c r="S145" s="25"/>
      <c r="T145" s="78" t="s">
        <v>627</v>
      </c>
    </row>
    <row r="146" spans="1:20" s="15" customFormat="1" ht="92.4">
      <c r="A146" s="110"/>
      <c r="B146" s="48" t="s">
        <v>581</v>
      </c>
      <c r="C146" s="110"/>
      <c r="D146" s="23" t="s">
        <v>155</v>
      </c>
      <c r="E146" s="24" t="s">
        <v>156</v>
      </c>
      <c r="F146" s="24" t="s">
        <v>620</v>
      </c>
      <c r="G146" s="24" t="s">
        <v>573</v>
      </c>
      <c r="H146" s="25"/>
      <c r="I146" s="25"/>
      <c r="J146" s="25"/>
      <c r="K146" s="25"/>
      <c r="L146" s="25"/>
      <c r="M146" s="25"/>
      <c r="N146" s="25"/>
      <c r="O146" s="25"/>
      <c r="P146" s="25">
        <v>528.93899999999996</v>
      </c>
      <c r="Q146" s="25">
        <v>528.89700000000005</v>
      </c>
      <c r="R146" s="25"/>
      <c r="S146" s="25"/>
      <c r="T146" s="73"/>
    </row>
    <row r="147" spans="1:20" s="15" customFormat="1" ht="105.6">
      <c r="A147" s="110"/>
      <c r="B147" s="11" t="s">
        <v>191</v>
      </c>
      <c r="C147" s="110"/>
      <c r="D147" s="23" t="s">
        <v>155</v>
      </c>
      <c r="E147" s="24" t="s">
        <v>156</v>
      </c>
      <c r="F147" s="24" t="s">
        <v>192</v>
      </c>
      <c r="G147" s="24" t="s">
        <v>63</v>
      </c>
      <c r="H147" s="25">
        <v>3187.4</v>
      </c>
      <c r="I147" s="25">
        <v>2269.4154699999999</v>
      </c>
      <c r="J147" s="25"/>
      <c r="K147" s="25"/>
      <c r="L147" s="25"/>
      <c r="M147" s="25"/>
      <c r="N147" s="25"/>
      <c r="O147" s="25"/>
      <c r="P147" s="25"/>
      <c r="Q147" s="25"/>
      <c r="R147" s="25"/>
      <c r="S147" s="25"/>
      <c r="T147" s="74"/>
    </row>
    <row r="148" spans="1:20" s="15" customFormat="1" ht="39.6">
      <c r="A148" s="110"/>
      <c r="B148" s="11" t="s">
        <v>566</v>
      </c>
      <c r="C148" s="110"/>
      <c r="D148" s="23" t="s">
        <v>155</v>
      </c>
      <c r="E148" s="24" t="s">
        <v>156</v>
      </c>
      <c r="F148" s="24" t="s">
        <v>193</v>
      </c>
      <c r="G148" s="24" t="s">
        <v>63</v>
      </c>
      <c r="H148" s="25">
        <v>200</v>
      </c>
      <c r="I148" s="25">
        <v>199.95787999999999</v>
      </c>
      <c r="J148" s="25"/>
      <c r="K148" s="25"/>
      <c r="L148" s="25"/>
      <c r="M148" s="25"/>
      <c r="N148" s="25"/>
      <c r="O148" s="25"/>
      <c r="P148" s="25"/>
      <c r="Q148" s="25"/>
      <c r="R148" s="25"/>
      <c r="S148" s="25"/>
      <c r="T148" s="74"/>
    </row>
    <row r="149" spans="1:20" s="15" customFormat="1" ht="40.5" customHeight="1">
      <c r="A149" s="110"/>
      <c r="B149" s="11" t="s">
        <v>40</v>
      </c>
      <c r="C149" s="110"/>
      <c r="D149" s="23" t="s">
        <v>155</v>
      </c>
      <c r="E149" s="24" t="s">
        <v>156</v>
      </c>
      <c r="F149" s="24" t="s">
        <v>194</v>
      </c>
      <c r="G149" s="24" t="s">
        <v>570</v>
      </c>
      <c r="H149" s="25">
        <v>21427.691610000002</v>
      </c>
      <c r="I149" s="25">
        <v>21427.688610000001</v>
      </c>
      <c r="J149" s="25">
        <v>4940.5719099999997</v>
      </c>
      <c r="K149" s="25">
        <v>4940.5719099999997</v>
      </c>
      <c r="L149" s="25">
        <v>10623.108469999999</v>
      </c>
      <c r="M149" s="25">
        <v>10623.108469999999</v>
      </c>
      <c r="N149" s="25">
        <v>15645.218220000001</v>
      </c>
      <c r="O149" s="25">
        <v>15645.218220000001</v>
      </c>
      <c r="P149" s="25">
        <v>22418.112000000001</v>
      </c>
      <c r="Q149" s="25">
        <v>22418.112000000001</v>
      </c>
      <c r="R149" s="25">
        <f>11383.648+5654.801+5095.9</f>
        <v>22134.349000000002</v>
      </c>
      <c r="S149" s="25">
        <f>11383.648+5654.801+5095.9</f>
        <v>22134.349000000002</v>
      </c>
      <c r="T149" s="74"/>
    </row>
    <row r="150" spans="1:20" s="15" customFormat="1" ht="39.6">
      <c r="A150" s="110"/>
      <c r="B150" s="11" t="s">
        <v>195</v>
      </c>
      <c r="C150" s="110"/>
      <c r="D150" s="23" t="s">
        <v>155</v>
      </c>
      <c r="E150" s="24" t="s">
        <v>186</v>
      </c>
      <c r="F150" s="24" t="s">
        <v>196</v>
      </c>
      <c r="G150" s="24" t="s">
        <v>584</v>
      </c>
      <c r="H150" s="25">
        <v>580</v>
      </c>
      <c r="I150" s="25">
        <v>580</v>
      </c>
      <c r="J150" s="25"/>
      <c r="K150" s="25"/>
      <c r="L150" s="25"/>
      <c r="M150" s="25"/>
      <c r="N150" s="25">
        <v>580</v>
      </c>
      <c r="O150" s="25">
        <v>567.18870000000004</v>
      </c>
      <c r="P150" s="25">
        <v>580</v>
      </c>
      <c r="Q150" s="25">
        <v>580</v>
      </c>
      <c r="R150" s="25">
        <v>580</v>
      </c>
      <c r="S150" s="25">
        <v>580</v>
      </c>
      <c r="T150" s="73"/>
    </row>
    <row r="151" spans="1:20" s="15" customFormat="1" ht="39.6">
      <c r="A151" s="110"/>
      <c r="B151" s="11" t="s">
        <v>39</v>
      </c>
      <c r="C151" s="110"/>
      <c r="D151" s="23" t="s">
        <v>155</v>
      </c>
      <c r="E151" s="24" t="s">
        <v>156</v>
      </c>
      <c r="F151" s="24" t="s">
        <v>197</v>
      </c>
      <c r="G151" s="24" t="s">
        <v>573</v>
      </c>
      <c r="H151" s="25">
        <v>216.1</v>
      </c>
      <c r="I151" s="25">
        <v>216.09700000000001</v>
      </c>
      <c r="J151" s="25"/>
      <c r="K151" s="25"/>
      <c r="L151" s="25">
        <v>44.924810000000001</v>
      </c>
      <c r="M151" s="25">
        <v>44.924810000000001</v>
      </c>
      <c r="N151" s="25">
        <v>44.924810000000001</v>
      </c>
      <c r="O151" s="25">
        <v>44.924810000000001</v>
      </c>
      <c r="P151" s="25">
        <v>44.924810000000001</v>
      </c>
      <c r="Q151" s="25">
        <v>44.697400000000002</v>
      </c>
      <c r="R151" s="25"/>
      <c r="S151" s="25"/>
      <c r="T151" s="74"/>
    </row>
    <row r="152" spans="1:20" s="15" customFormat="1" ht="26.4">
      <c r="A152" s="110"/>
      <c r="B152" s="11" t="s">
        <v>198</v>
      </c>
      <c r="C152" s="110"/>
      <c r="D152" s="23" t="s">
        <v>155</v>
      </c>
      <c r="E152" s="24" t="s">
        <v>75</v>
      </c>
      <c r="F152" s="24" t="s">
        <v>199</v>
      </c>
      <c r="G152" s="24" t="s">
        <v>573</v>
      </c>
      <c r="H152" s="25">
        <v>15</v>
      </c>
      <c r="I152" s="25">
        <v>15</v>
      </c>
      <c r="J152" s="25"/>
      <c r="K152" s="25"/>
      <c r="L152" s="25">
        <v>11</v>
      </c>
      <c r="M152" s="25">
        <v>11</v>
      </c>
      <c r="N152" s="25">
        <v>15</v>
      </c>
      <c r="O152" s="25">
        <v>15</v>
      </c>
      <c r="P152" s="25">
        <v>15</v>
      </c>
      <c r="Q152" s="25">
        <v>15</v>
      </c>
      <c r="R152" s="25">
        <f>3+4+8</f>
        <v>15</v>
      </c>
      <c r="S152" s="25">
        <f>3+4+8</f>
        <v>15</v>
      </c>
      <c r="T152" s="73"/>
    </row>
    <row r="153" spans="1:20" s="15" customFormat="1" ht="39.6">
      <c r="A153" s="110"/>
      <c r="B153" s="11" t="s">
        <v>200</v>
      </c>
      <c r="C153" s="110"/>
      <c r="D153" s="23" t="s">
        <v>155</v>
      </c>
      <c r="E153" s="24" t="s">
        <v>156</v>
      </c>
      <c r="F153" s="24" t="s">
        <v>201</v>
      </c>
      <c r="G153" s="24" t="s">
        <v>573</v>
      </c>
      <c r="H153" s="25">
        <v>221.1</v>
      </c>
      <c r="I153" s="25">
        <v>221.1</v>
      </c>
      <c r="J153" s="25"/>
      <c r="K153" s="25"/>
      <c r="L153" s="25">
        <v>111.90300000000001</v>
      </c>
      <c r="M153" s="25">
        <v>111.90300000000001</v>
      </c>
      <c r="N153" s="25">
        <v>137.3416</v>
      </c>
      <c r="O153" s="25">
        <v>137.3416</v>
      </c>
      <c r="P153" s="25">
        <v>218.571</v>
      </c>
      <c r="Q153" s="25">
        <v>202.54</v>
      </c>
      <c r="R153" s="25">
        <v>258.89999999999998</v>
      </c>
      <c r="S153" s="25">
        <v>258.89999999999998</v>
      </c>
      <c r="T153" s="79" t="s">
        <v>755</v>
      </c>
    </row>
    <row r="154" spans="1:20" s="15" customFormat="1" ht="26.4">
      <c r="A154" s="110"/>
      <c r="B154" s="11" t="s">
        <v>170</v>
      </c>
      <c r="C154" s="110"/>
      <c r="D154" s="23" t="s">
        <v>155</v>
      </c>
      <c r="E154" s="24" t="s">
        <v>156</v>
      </c>
      <c r="F154" s="24" t="s">
        <v>202</v>
      </c>
      <c r="G154" s="24" t="s">
        <v>573</v>
      </c>
      <c r="H154" s="25">
        <v>15.45</v>
      </c>
      <c r="I154" s="25">
        <v>8.09</v>
      </c>
      <c r="J154" s="25"/>
      <c r="K154" s="25"/>
      <c r="L154" s="25"/>
      <c r="M154" s="25"/>
      <c r="N154" s="25">
        <v>5.15</v>
      </c>
      <c r="O154" s="25">
        <v>5.15</v>
      </c>
      <c r="P154" s="25">
        <v>15.45</v>
      </c>
      <c r="Q154" s="25">
        <v>9.8419000000000008</v>
      </c>
      <c r="R154" s="25">
        <f>5.15+5.15+5.15</f>
        <v>15.450000000000001</v>
      </c>
      <c r="S154" s="25">
        <f>5.15+5.15+5.15</f>
        <v>15.450000000000001</v>
      </c>
      <c r="T154" s="79" t="s">
        <v>756</v>
      </c>
    </row>
    <row r="155" spans="1:20" s="15" customFormat="1" ht="26.4">
      <c r="A155" s="110"/>
      <c r="B155" s="11" t="s">
        <v>172</v>
      </c>
      <c r="C155" s="110"/>
      <c r="D155" s="23" t="s">
        <v>155</v>
      </c>
      <c r="E155" s="24" t="s">
        <v>156</v>
      </c>
      <c r="F155" s="24" t="s">
        <v>203</v>
      </c>
      <c r="G155" s="24" t="s">
        <v>63</v>
      </c>
      <c r="H155" s="25">
        <v>170</v>
      </c>
      <c r="I155" s="25">
        <v>169.49</v>
      </c>
      <c r="J155" s="25"/>
      <c r="K155" s="25"/>
      <c r="L155" s="25"/>
      <c r="M155" s="25"/>
      <c r="N155" s="25"/>
      <c r="O155" s="25"/>
      <c r="P155" s="25"/>
      <c r="Q155" s="25"/>
      <c r="R155" s="25"/>
      <c r="S155" s="25"/>
      <c r="T155" s="74"/>
    </row>
    <row r="156" spans="1:20" s="15" customFormat="1" ht="52.8">
      <c r="A156" s="110"/>
      <c r="B156" s="48" t="s">
        <v>623</v>
      </c>
      <c r="C156" s="110"/>
      <c r="D156" s="23" t="s">
        <v>155</v>
      </c>
      <c r="E156" s="24" t="s">
        <v>156</v>
      </c>
      <c r="F156" s="24" t="s">
        <v>622</v>
      </c>
      <c r="G156" s="24" t="s">
        <v>573</v>
      </c>
      <c r="H156" s="25"/>
      <c r="I156" s="25"/>
      <c r="J156" s="25">
        <v>80</v>
      </c>
      <c r="K156" s="25">
        <v>80</v>
      </c>
      <c r="L156" s="25">
        <v>80</v>
      </c>
      <c r="M156" s="25">
        <v>80</v>
      </c>
      <c r="N156" s="25">
        <v>80</v>
      </c>
      <c r="O156" s="25">
        <v>80</v>
      </c>
      <c r="P156" s="25">
        <v>80</v>
      </c>
      <c r="Q156" s="25">
        <v>80</v>
      </c>
      <c r="R156" s="25">
        <v>80</v>
      </c>
      <c r="S156" s="25">
        <v>80</v>
      </c>
      <c r="T156" s="74"/>
    </row>
    <row r="157" spans="1:20" s="15" customFormat="1" ht="118.8">
      <c r="A157" s="110"/>
      <c r="B157" s="48" t="s">
        <v>585</v>
      </c>
      <c r="C157" s="110"/>
      <c r="D157" s="23" t="s">
        <v>155</v>
      </c>
      <c r="E157" s="24" t="s">
        <v>156</v>
      </c>
      <c r="F157" s="24" t="s">
        <v>624</v>
      </c>
      <c r="G157" s="24" t="s">
        <v>573</v>
      </c>
      <c r="H157" s="25"/>
      <c r="I157" s="25"/>
      <c r="J157" s="25"/>
      <c r="K157" s="25"/>
      <c r="L157" s="25"/>
      <c r="M157" s="25"/>
      <c r="N157" s="25"/>
      <c r="O157" s="25"/>
      <c r="P157" s="25">
        <v>4.2485999999999997</v>
      </c>
      <c r="Q157" s="25">
        <v>0</v>
      </c>
      <c r="R157" s="25"/>
      <c r="S157" s="25"/>
      <c r="T157" s="75" t="s">
        <v>757</v>
      </c>
    </row>
    <row r="158" spans="1:20" s="15" customFormat="1" ht="118.8">
      <c r="A158" s="110"/>
      <c r="B158" s="11" t="s">
        <v>204</v>
      </c>
      <c r="C158" s="110"/>
      <c r="D158" s="23" t="s">
        <v>155</v>
      </c>
      <c r="E158" s="24" t="s">
        <v>156</v>
      </c>
      <c r="F158" s="24" t="s">
        <v>205</v>
      </c>
      <c r="G158" s="24" t="s">
        <v>63</v>
      </c>
      <c r="H158" s="25">
        <v>31.873999999999999</v>
      </c>
      <c r="I158" s="25">
        <v>31.873999999999999</v>
      </c>
      <c r="J158" s="25"/>
      <c r="K158" s="25"/>
      <c r="L158" s="25"/>
      <c r="M158" s="25"/>
      <c r="N158" s="25"/>
      <c r="O158" s="25"/>
      <c r="P158" s="25"/>
      <c r="Q158" s="25"/>
      <c r="R158" s="25"/>
      <c r="S158" s="25"/>
      <c r="T158" s="73"/>
    </row>
    <row r="159" spans="1:20" s="15" customFormat="1" ht="79.2">
      <c r="A159" s="110"/>
      <c r="B159" s="11" t="s">
        <v>206</v>
      </c>
      <c r="C159" s="110"/>
      <c r="D159" s="23" t="s">
        <v>155</v>
      </c>
      <c r="E159" s="24" t="s">
        <v>156</v>
      </c>
      <c r="F159" s="24" t="s">
        <v>207</v>
      </c>
      <c r="G159" s="24" t="s">
        <v>573</v>
      </c>
      <c r="H159" s="25">
        <v>10</v>
      </c>
      <c r="I159" s="25">
        <v>10</v>
      </c>
      <c r="J159" s="25"/>
      <c r="K159" s="25"/>
      <c r="L159" s="25"/>
      <c r="M159" s="25"/>
      <c r="N159" s="25">
        <v>2.1</v>
      </c>
      <c r="O159" s="25">
        <v>2.1</v>
      </c>
      <c r="P159" s="25">
        <v>2.1</v>
      </c>
      <c r="Q159" s="25">
        <v>2.1</v>
      </c>
      <c r="R159" s="25"/>
      <c r="S159" s="25"/>
      <c r="T159" s="73"/>
    </row>
    <row r="160" spans="1:20" s="15" customFormat="1" ht="66">
      <c r="A160" s="110"/>
      <c r="B160" s="48" t="s">
        <v>628</v>
      </c>
      <c r="C160" s="50"/>
      <c r="D160" s="23" t="s">
        <v>155</v>
      </c>
      <c r="E160" s="24" t="s">
        <v>186</v>
      </c>
      <c r="F160" s="24" t="s">
        <v>625</v>
      </c>
      <c r="G160" s="24" t="s">
        <v>584</v>
      </c>
      <c r="H160" s="25"/>
      <c r="I160" s="25"/>
      <c r="J160" s="25"/>
      <c r="K160" s="25"/>
      <c r="L160" s="25"/>
      <c r="M160" s="25"/>
      <c r="N160" s="25"/>
      <c r="O160" s="25"/>
      <c r="P160" s="25">
        <v>33.299999999999997</v>
      </c>
      <c r="Q160" s="25">
        <v>33.299999999999997</v>
      </c>
      <c r="R160" s="25"/>
      <c r="S160" s="25"/>
      <c r="T160" s="80"/>
    </row>
    <row r="161" spans="1:20" s="15" customFormat="1" ht="158.4">
      <c r="A161" s="111"/>
      <c r="B161" s="48" t="s">
        <v>629</v>
      </c>
      <c r="C161" s="50"/>
      <c r="D161" s="23" t="s">
        <v>155</v>
      </c>
      <c r="E161" s="24" t="s">
        <v>156</v>
      </c>
      <c r="F161" s="24" t="s">
        <v>626</v>
      </c>
      <c r="G161" s="24" t="s">
        <v>466</v>
      </c>
      <c r="H161" s="25"/>
      <c r="I161" s="25"/>
      <c r="J161" s="25"/>
      <c r="K161" s="25"/>
      <c r="L161" s="25"/>
      <c r="M161" s="25"/>
      <c r="N161" s="25"/>
      <c r="O161" s="25"/>
      <c r="P161" s="25">
        <v>1015.598</v>
      </c>
      <c r="Q161" s="25">
        <v>0</v>
      </c>
      <c r="R161" s="25"/>
      <c r="S161" s="25"/>
      <c r="T161" s="75" t="s">
        <v>627</v>
      </c>
    </row>
    <row r="162" spans="1:20" s="15" customFormat="1" ht="12.75" customHeight="1">
      <c r="A162" s="106" t="s">
        <v>208</v>
      </c>
      <c r="B162" s="11"/>
      <c r="C162" s="11" t="s">
        <v>57</v>
      </c>
      <c r="D162" s="23"/>
      <c r="E162" s="23"/>
      <c r="F162" s="23"/>
      <c r="G162" s="23"/>
      <c r="H162" s="25">
        <f>H163</f>
        <v>21142.319189999998</v>
      </c>
      <c r="I162" s="25">
        <f>I163</f>
        <v>21133.793189999997</v>
      </c>
      <c r="J162" s="25">
        <f t="shared" ref="J162:O162" si="81">J163</f>
        <v>4313.3815300000006</v>
      </c>
      <c r="K162" s="25">
        <f t="shared" si="81"/>
        <v>4313.3815300000006</v>
      </c>
      <c r="L162" s="25">
        <f t="shared" si="81"/>
        <v>12829.46429</v>
      </c>
      <c r="M162" s="25">
        <f t="shared" si="81"/>
        <v>12829.46429</v>
      </c>
      <c r="N162" s="25">
        <f t="shared" si="81"/>
        <v>15512.250679999999</v>
      </c>
      <c r="O162" s="25">
        <f t="shared" si="81"/>
        <v>15512.250679999999</v>
      </c>
      <c r="P162" s="25">
        <f>P163</f>
        <v>22236.779319999998</v>
      </c>
      <c r="Q162" s="25">
        <f>Q163</f>
        <v>22227.912360000002</v>
      </c>
      <c r="R162" s="25">
        <f t="shared" ref="R162:S162" si="82">R163</f>
        <v>20704.742999999999</v>
      </c>
      <c r="S162" s="25">
        <f t="shared" si="82"/>
        <v>20704.742999999999</v>
      </c>
      <c r="T162" s="73"/>
    </row>
    <row r="163" spans="1:20" s="15" customFormat="1" ht="38.25" customHeight="1">
      <c r="A163" s="106"/>
      <c r="B163" s="11"/>
      <c r="C163" s="109" t="s">
        <v>153</v>
      </c>
      <c r="D163" s="23"/>
      <c r="E163" s="23"/>
      <c r="F163" s="23"/>
      <c r="G163" s="23"/>
      <c r="H163" s="25">
        <f>SUM(H164:H181)</f>
        <v>21142.319189999998</v>
      </c>
      <c r="I163" s="25">
        <f>SUM(I164:I181)</f>
        <v>21133.793189999997</v>
      </c>
      <c r="J163" s="25">
        <f t="shared" ref="J163:O163" si="83">SUM(J164:J181)</f>
        <v>4313.3815300000006</v>
      </c>
      <c r="K163" s="25">
        <f t="shared" si="83"/>
        <v>4313.3815300000006</v>
      </c>
      <c r="L163" s="25">
        <f t="shared" si="83"/>
        <v>12829.46429</v>
      </c>
      <c r="M163" s="25">
        <f t="shared" si="83"/>
        <v>12829.46429</v>
      </c>
      <c r="N163" s="25">
        <f t="shared" si="83"/>
        <v>15512.250679999999</v>
      </c>
      <c r="O163" s="25">
        <f t="shared" si="83"/>
        <v>15512.250679999999</v>
      </c>
      <c r="P163" s="25">
        <f>SUM(P164:P181)</f>
        <v>22236.779319999998</v>
      </c>
      <c r="Q163" s="25">
        <f>SUM(Q164:Q181)</f>
        <v>22227.912360000002</v>
      </c>
      <c r="R163" s="25">
        <f t="shared" ref="R163:S163" si="84">SUM(R164:R181)</f>
        <v>20704.742999999999</v>
      </c>
      <c r="S163" s="25">
        <f t="shared" si="84"/>
        <v>20704.742999999999</v>
      </c>
      <c r="T163" s="73"/>
    </row>
    <row r="164" spans="1:20" s="15" customFormat="1" ht="105.6">
      <c r="A164" s="106"/>
      <c r="B164" s="11" t="s">
        <v>30</v>
      </c>
      <c r="C164" s="110"/>
      <c r="D164" s="23" t="s">
        <v>155</v>
      </c>
      <c r="E164" s="24" t="s">
        <v>64</v>
      </c>
      <c r="F164" s="24" t="s">
        <v>209</v>
      </c>
      <c r="G164" s="24" t="s">
        <v>570</v>
      </c>
      <c r="H164" s="25">
        <f>23.88+390.2348</f>
        <v>414.1148</v>
      </c>
      <c r="I164" s="25">
        <f>23.88+390.2348</f>
        <v>414.1148</v>
      </c>
      <c r="J164" s="25">
        <v>173.58199999999999</v>
      </c>
      <c r="K164" s="25">
        <v>173.58199999999999</v>
      </c>
      <c r="L164" s="25">
        <v>341.69</v>
      </c>
      <c r="M164" s="25">
        <v>341.69</v>
      </c>
      <c r="N164" s="25">
        <f>90.396+514.512</f>
        <v>604.9079999999999</v>
      </c>
      <c r="O164" s="25">
        <f>90.396+514.512</f>
        <v>604.9079999999999</v>
      </c>
      <c r="P164" s="25">
        <f>412.653+568.405</f>
        <v>981.05799999999999</v>
      </c>
      <c r="Q164" s="25">
        <f>412.653+568.405</f>
        <v>981.05799999999999</v>
      </c>
      <c r="R164" s="25"/>
      <c r="S164" s="25"/>
      <c r="T164" s="73"/>
    </row>
    <row r="165" spans="1:20" s="15" customFormat="1" ht="105.6">
      <c r="A165" s="106"/>
      <c r="B165" s="11" t="s">
        <v>30</v>
      </c>
      <c r="C165" s="110"/>
      <c r="D165" s="23" t="s">
        <v>155</v>
      </c>
      <c r="E165" s="24" t="s">
        <v>64</v>
      </c>
      <c r="F165" s="24" t="s">
        <v>210</v>
      </c>
      <c r="G165" s="24" t="s">
        <v>63</v>
      </c>
      <c r="H165" s="25">
        <v>14.597</v>
      </c>
      <c r="I165" s="25">
        <v>14.597</v>
      </c>
      <c r="J165" s="25"/>
      <c r="K165" s="25"/>
      <c r="L165" s="25"/>
      <c r="M165" s="25"/>
      <c r="N165" s="25"/>
      <c r="O165" s="25"/>
      <c r="P165" s="25"/>
      <c r="Q165" s="25"/>
      <c r="R165" s="25"/>
      <c r="S165" s="25"/>
      <c r="T165" s="73"/>
    </row>
    <row r="166" spans="1:20" s="15" customFormat="1" ht="102" customHeight="1">
      <c r="A166" s="106"/>
      <c r="B166" s="11" t="s">
        <v>66</v>
      </c>
      <c r="C166" s="110"/>
      <c r="D166" s="23" t="s">
        <v>155</v>
      </c>
      <c r="E166" s="24" t="s">
        <v>64</v>
      </c>
      <c r="F166" s="24" t="s">
        <v>211</v>
      </c>
      <c r="G166" s="24" t="s">
        <v>570</v>
      </c>
      <c r="H166" s="25">
        <f>21.598+82.761</f>
        <v>104.35899999999999</v>
      </c>
      <c r="I166" s="25">
        <f>21.598+82.761</f>
        <v>104.35899999999999</v>
      </c>
      <c r="J166" s="25">
        <v>53.537999999999997</v>
      </c>
      <c r="K166" s="25">
        <v>53.537999999999997</v>
      </c>
      <c r="L166" s="25">
        <v>168.84667999999999</v>
      </c>
      <c r="M166" s="25">
        <v>168.84667999999999</v>
      </c>
      <c r="N166" s="25">
        <v>184.33868000000001</v>
      </c>
      <c r="O166" s="25">
        <v>184.33868000000001</v>
      </c>
      <c r="P166" s="25">
        <v>238.761</v>
      </c>
      <c r="Q166" s="25">
        <v>238.761</v>
      </c>
      <c r="R166" s="25"/>
      <c r="S166" s="25"/>
      <c r="T166" s="73"/>
    </row>
    <row r="167" spans="1:20" s="15" customFormat="1" ht="52.8">
      <c r="A167" s="106"/>
      <c r="B167" s="11" t="s">
        <v>212</v>
      </c>
      <c r="C167" s="110"/>
      <c r="D167" s="23" t="s">
        <v>155</v>
      </c>
      <c r="E167" s="24" t="s">
        <v>64</v>
      </c>
      <c r="F167" s="24" t="s">
        <v>213</v>
      </c>
      <c r="G167" s="24" t="s">
        <v>63</v>
      </c>
      <c r="H167" s="25">
        <v>154.97999999999999</v>
      </c>
      <c r="I167" s="25">
        <v>154.97999999999999</v>
      </c>
      <c r="J167" s="25"/>
      <c r="K167" s="25"/>
      <c r="L167" s="25"/>
      <c r="M167" s="25"/>
      <c r="N167" s="25"/>
      <c r="O167" s="25"/>
      <c r="P167" s="25"/>
      <c r="Q167" s="25"/>
      <c r="R167" s="25"/>
      <c r="S167" s="25"/>
      <c r="T167" s="73"/>
    </row>
    <row r="168" spans="1:20" s="15" customFormat="1" ht="78" customHeight="1">
      <c r="A168" s="106"/>
      <c r="B168" s="11" t="s">
        <v>214</v>
      </c>
      <c r="C168" s="110"/>
      <c r="D168" s="23" t="s">
        <v>155</v>
      </c>
      <c r="E168" s="24" t="s">
        <v>156</v>
      </c>
      <c r="F168" s="24" t="s">
        <v>215</v>
      </c>
      <c r="G168" s="24" t="s">
        <v>63</v>
      </c>
      <c r="H168" s="25">
        <v>84</v>
      </c>
      <c r="I168" s="25">
        <v>84</v>
      </c>
      <c r="J168" s="25"/>
      <c r="K168" s="25"/>
      <c r="L168" s="25"/>
      <c r="M168" s="25"/>
      <c r="N168" s="25"/>
      <c r="O168" s="25"/>
      <c r="P168" s="25"/>
      <c r="Q168" s="25"/>
      <c r="R168" s="25"/>
      <c r="S168" s="25"/>
      <c r="T168" s="73"/>
    </row>
    <row r="169" spans="1:20" s="15" customFormat="1" ht="39.6">
      <c r="A169" s="106"/>
      <c r="B169" s="11" t="s">
        <v>40</v>
      </c>
      <c r="C169" s="110"/>
      <c r="D169" s="23" t="s">
        <v>155</v>
      </c>
      <c r="E169" s="24" t="s">
        <v>64</v>
      </c>
      <c r="F169" s="24" t="s">
        <v>216</v>
      </c>
      <c r="G169" s="24" t="s">
        <v>570</v>
      </c>
      <c r="H169" s="25">
        <v>20146.56839</v>
      </c>
      <c r="I169" s="25">
        <v>20146.56839</v>
      </c>
      <c r="J169" s="25">
        <v>4086.2615300000002</v>
      </c>
      <c r="K169" s="25">
        <v>4086.2615300000002</v>
      </c>
      <c r="L169" s="25">
        <v>12127.46961</v>
      </c>
      <c r="M169" s="25">
        <v>12127.46961</v>
      </c>
      <c r="N169" s="25">
        <v>14436.746639999999</v>
      </c>
      <c r="O169" s="25">
        <v>14436.746639999999</v>
      </c>
      <c r="P169" s="25">
        <v>20711.949000000001</v>
      </c>
      <c r="Q169" s="25">
        <v>20711.949000000001</v>
      </c>
      <c r="R169" s="25">
        <f>14863.885+3650.842+2037.016</f>
        <v>20551.742999999999</v>
      </c>
      <c r="S169" s="25">
        <f>14863.885+3650.842+2037.016</f>
        <v>20551.742999999999</v>
      </c>
      <c r="T169" s="73"/>
    </row>
    <row r="170" spans="1:20" s="15" customFormat="1" ht="30" customHeight="1">
      <c r="A170" s="106"/>
      <c r="B170" s="11" t="s">
        <v>39</v>
      </c>
      <c r="C170" s="110"/>
      <c r="D170" s="23" t="s">
        <v>155</v>
      </c>
      <c r="E170" s="24" t="s">
        <v>64</v>
      </c>
      <c r="F170" s="24" t="s">
        <v>217</v>
      </c>
      <c r="G170" s="24" t="s">
        <v>573</v>
      </c>
      <c r="H170" s="25">
        <v>50</v>
      </c>
      <c r="I170" s="25">
        <v>50</v>
      </c>
      <c r="J170" s="25"/>
      <c r="K170" s="25"/>
      <c r="L170" s="25">
        <v>76.457999999999998</v>
      </c>
      <c r="M170" s="25">
        <v>76.457999999999998</v>
      </c>
      <c r="N170" s="25">
        <v>162.65799999999999</v>
      </c>
      <c r="O170" s="25">
        <v>162.65799999999999</v>
      </c>
      <c r="P170" s="25">
        <v>162.65799999999999</v>
      </c>
      <c r="Q170" s="25">
        <v>162.65799999999999</v>
      </c>
      <c r="R170" s="25"/>
      <c r="S170" s="25"/>
      <c r="T170" s="73"/>
    </row>
    <row r="171" spans="1:20" s="15" customFormat="1" ht="26.4">
      <c r="A171" s="106"/>
      <c r="B171" s="48" t="s">
        <v>198</v>
      </c>
      <c r="C171" s="110"/>
      <c r="D171" s="23" t="s">
        <v>155</v>
      </c>
      <c r="E171" s="24" t="s">
        <v>75</v>
      </c>
      <c r="F171" s="24" t="s">
        <v>630</v>
      </c>
      <c r="G171" s="24" t="s">
        <v>573</v>
      </c>
      <c r="H171" s="25"/>
      <c r="I171" s="25"/>
      <c r="J171" s="25"/>
      <c r="K171" s="25"/>
      <c r="L171" s="25"/>
      <c r="M171" s="25"/>
      <c r="N171" s="25">
        <v>1</v>
      </c>
      <c r="O171" s="25">
        <v>1</v>
      </c>
      <c r="P171" s="25">
        <v>1</v>
      </c>
      <c r="Q171" s="25">
        <v>1</v>
      </c>
      <c r="R171" s="25">
        <v>1</v>
      </c>
      <c r="S171" s="25">
        <v>1</v>
      </c>
      <c r="T171" s="73"/>
    </row>
    <row r="172" spans="1:20" s="15" customFormat="1" ht="13.2">
      <c r="A172" s="106"/>
      <c r="B172" s="11" t="s">
        <v>218</v>
      </c>
      <c r="C172" s="110"/>
      <c r="D172" s="23" t="s">
        <v>155</v>
      </c>
      <c r="E172" s="24" t="s">
        <v>75</v>
      </c>
      <c r="F172" s="24" t="s">
        <v>219</v>
      </c>
      <c r="G172" s="24" t="s">
        <v>63</v>
      </c>
      <c r="H172" s="25">
        <v>1</v>
      </c>
      <c r="I172" s="25">
        <v>1</v>
      </c>
      <c r="J172" s="25"/>
      <c r="K172" s="25"/>
      <c r="L172" s="25"/>
      <c r="M172" s="25"/>
      <c r="N172" s="25"/>
      <c r="O172" s="25"/>
      <c r="P172" s="25"/>
      <c r="Q172" s="25"/>
      <c r="R172" s="25"/>
      <c r="S172" s="25"/>
      <c r="T172" s="73"/>
    </row>
    <row r="173" spans="1:20" s="15" customFormat="1" ht="39.6">
      <c r="A173" s="106"/>
      <c r="B173" s="11" t="s">
        <v>220</v>
      </c>
      <c r="C173" s="110"/>
      <c r="D173" s="23" t="s">
        <v>155</v>
      </c>
      <c r="E173" s="24" t="s">
        <v>75</v>
      </c>
      <c r="F173" s="24" t="s">
        <v>221</v>
      </c>
      <c r="G173" s="24" t="s">
        <v>63</v>
      </c>
      <c r="H173" s="25">
        <v>14</v>
      </c>
      <c r="I173" s="25">
        <v>14</v>
      </c>
      <c r="J173" s="25"/>
      <c r="K173" s="25"/>
      <c r="L173" s="25"/>
      <c r="M173" s="25"/>
      <c r="N173" s="25"/>
      <c r="O173" s="25"/>
      <c r="P173" s="25"/>
      <c r="Q173" s="25"/>
      <c r="R173" s="25"/>
      <c r="S173" s="25"/>
      <c r="T173" s="73"/>
    </row>
    <row r="174" spans="1:20" s="15" customFormat="1" ht="39.6">
      <c r="A174" s="106"/>
      <c r="B174" s="11" t="s">
        <v>222</v>
      </c>
      <c r="C174" s="110"/>
      <c r="D174" s="23" t="s">
        <v>155</v>
      </c>
      <c r="E174" s="24" t="s">
        <v>75</v>
      </c>
      <c r="F174" s="24" t="s">
        <v>223</v>
      </c>
      <c r="G174" s="24" t="s">
        <v>573</v>
      </c>
      <c r="H174" s="25">
        <v>2</v>
      </c>
      <c r="I174" s="25">
        <v>2</v>
      </c>
      <c r="J174" s="25"/>
      <c r="K174" s="25"/>
      <c r="L174" s="25">
        <v>6</v>
      </c>
      <c r="M174" s="25">
        <v>6</v>
      </c>
      <c r="N174" s="25">
        <v>6</v>
      </c>
      <c r="O174" s="25">
        <v>6</v>
      </c>
      <c r="P174" s="25">
        <v>6</v>
      </c>
      <c r="Q174" s="25">
        <v>6</v>
      </c>
      <c r="R174" s="25">
        <v>6</v>
      </c>
      <c r="S174" s="25">
        <v>6</v>
      </c>
      <c r="T174" s="73"/>
    </row>
    <row r="175" spans="1:20" s="15" customFormat="1" ht="39.6">
      <c r="A175" s="106"/>
      <c r="B175" s="11" t="s">
        <v>224</v>
      </c>
      <c r="C175" s="110"/>
      <c r="D175" s="23" t="s">
        <v>155</v>
      </c>
      <c r="E175" s="24" t="s">
        <v>75</v>
      </c>
      <c r="F175" s="24" t="s">
        <v>225</v>
      </c>
      <c r="G175" s="24" t="s">
        <v>573</v>
      </c>
      <c r="H175" s="25">
        <v>6.7</v>
      </c>
      <c r="I175" s="25">
        <v>6.7</v>
      </c>
      <c r="J175" s="25"/>
      <c r="K175" s="25"/>
      <c r="L175" s="25">
        <v>10</v>
      </c>
      <c r="M175" s="25">
        <v>10</v>
      </c>
      <c r="N175" s="25">
        <v>10</v>
      </c>
      <c r="O175" s="25">
        <v>10</v>
      </c>
      <c r="P175" s="25">
        <v>10</v>
      </c>
      <c r="Q175" s="25">
        <v>10</v>
      </c>
      <c r="R175" s="25">
        <v>10</v>
      </c>
      <c r="S175" s="25">
        <v>10</v>
      </c>
      <c r="T175" s="73"/>
    </row>
    <row r="176" spans="1:20" s="15" customFormat="1" ht="26.4">
      <c r="A176" s="106"/>
      <c r="B176" s="11" t="s">
        <v>170</v>
      </c>
      <c r="C176" s="110"/>
      <c r="D176" s="23" t="s">
        <v>155</v>
      </c>
      <c r="E176" s="24" t="s">
        <v>64</v>
      </c>
      <c r="F176" s="24" t="s">
        <v>226</v>
      </c>
      <c r="G176" s="24" t="s">
        <v>573</v>
      </c>
      <c r="H176" s="25">
        <v>15.45</v>
      </c>
      <c r="I176" s="25">
        <v>7.4240000000000004</v>
      </c>
      <c r="J176" s="25"/>
      <c r="K176" s="25"/>
      <c r="L176" s="25"/>
      <c r="M176" s="25"/>
      <c r="N176" s="25">
        <v>1.05</v>
      </c>
      <c r="O176" s="25">
        <v>1.05</v>
      </c>
      <c r="P176" s="25">
        <v>15.45</v>
      </c>
      <c r="Q176" s="25">
        <v>10.936999999999999</v>
      </c>
      <c r="R176" s="25">
        <f>5.15+5.15+5.15</f>
        <v>15.450000000000001</v>
      </c>
      <c r="S176" s="25">
        <f>5.15+5.15+5.15</f>
        <v>15.450000000000001</v>
      </c>
      <c r="T176" s="75"/>
    </row>
    <row r="177" spans="1:20" s="15" customFormat="1" ht="30.75" customHeight="1">
      <c r="A177" s="106"/>
      <c r="B177" s="11" t="s">
        <v>227</v>
      </c>
      <c r="C177" s="110"/>
      <c r="D177" s="23" t="s">
        <v>155</v>
      </c>
      <c r="E177" s="24" t="s">
        <v>64</v>
      </c>
      <c r="F177" s="24" t="s">
        <v>228</v>
      </c>
      <c r="G177" s="24" t="s">
        <v>573</v>
      </c>
      <c r="H177" s="25">
        <v>13.85</v>
      </c>
      <c r="I177" s="25">
        <v>13.85</v>
      </c>
      <c r="J177" s="25"/>
      <c r="K177" s="25"/>
      <c r="L177" s="25">
        <v>99</v>
      </c>
      <c r="M177" s="25">
        <v>99</v>
      </c>
      <c r="N177" s="25">
        <v>105.54935999999999</v>
      </c>
      <c r="O177" s="25">
        <v>105.54935999999999</v>
      </c>
      <c r="P177" s="25">
        <v>105.55</v>
      </c>
      <c r="Q177" s="25">
        <v>105.54935999999999</v>
      </c>
      <c r="R177" s="25">
        <f>5.5+91.55+23.5</f>
        <v>120.55</v>
      </c>
      <c r="S177" s="25">
        <f>5.5+91.55+23.5</f>
        <v>120.55</v>
      </c>
      <c r="T177" s="73"/>
    </row>
    <row r="178" spans="1:20" s="15" customFormat="1" ht="13.2">
      <c r="A178" s="106"/>
      <c r="B178" s="11" t="s">
        <v>229</v>
      </c>
      <c r="C178" s="110"/>
      <c r="D178" s="23" t="s">
        <v>155</v>
      </c>
      <c r="E178" s="24" t="s">
        <v>64</v>
      </c>
      <c r="F178" s="24" t="s">
        <v>230</v>
      </c>
      <c r="G178" s="24" t="s">
        <v>63</v>
      </c>
      <c r="H178" s="25">
        <v>100</v>
      </c>
      <c r="I178" s="25">
        <v>99.5</v>
      </c>
      <c r="J178" s="25"/>
      <c r="K178" s="25"/>
      <c r="L178" s="25"/>
      <c r="M178" s="25"/>
      <c r="N178" s="25"/>
      <c r="O178" s="25"/>
      <c r="P178" s="25"/>
      <c r="Q178" s="25"/>
      <c r="R178" s="25"/>
      <c r="S178" s="25"/>
      <c r="T178" s="74"/>
    </row>
    <row r="179" spans="1:20" s="15" customFormat="1" ht="118.8">
      <c r="A179" s="106"/>
      <c r="B179" s="48" t="s">
        <v>585</v>
      </c>
      <c r="C179" s="110"/>
      <c r="D179" s="23" t="s">
        <v>155</v>
      </c>
      <c r="E179" s="24" t="s">
        <v>64</v>
      </c>
      <c r="F179" s="24" t="s">
        <v>631</v>
      </c>
      <c r="G179" s="24" t="s">
        <v>573</v>
      </c>
      <c r="H179" s="25"/>
      <c r="I179" s="25"/>
      <c r="J179" s="25"/>
      <c r="K179" s="25"/>
      <c r="L179" s="25"/>
      <c r="M179" s="25"/>
      <c r="N179" s="25"/>
      <c r="O179" s="25"/>
      <c r="P179" s="25">
        <v>4.3533200000000001</v>
      </c>
      <c r="Q179" s="25">
        <v>0</v>
      </c>
      <c r="R179" s="25"/>
      <c r="S179" s="25"/>
      <c r="T179" s="75" t="s">
        <v>757</v>
      </c>
    </row>
    <row r="180" spans="1:20" s="15" customFormat="1" ht="118.8">
      <c r="A180" s="106"/>
      <c r="B180" s="11" t="s">
        <v>231</v>
      </c>
      <c r="C180" s="110"/>
      <c r="D180" s="23" t="s">
        <v>155</v>
      </c>
      <c r="E180" s="24" t="s">
        <v>64</v>
      </c>
      <c r="F180" s="24" t="s">
        <v>232</v>
      </c>
      <c r="G180" s="24" t="s">
        <v>63</v>
      </c>
      <c r="H180" s="25">
        <v>18.600000000000001</v>
      </c>
      <c r="I180" s="25">
        <v>18.600000000000001</v>
      </c>
      <c r="J180" s="25"/>
      <c r="K180" s="25"/>
      <c r="L180" s="25"/>
      <c r="M180" s="25"/>
      <c r="N180" s="25"/>
      <c r="O180" s="25"/>
      <c r="P180" s="25"/>
      <c r="Q180" s="25"/>
      <c r="R180" s="25"/>
      <c r="S180" s="25"/>
      <c r="T180" s="73"/>
    </row>
    <row r="181" spans="1:20" s="15" customFormat="1" ht="66">
      <c r="A181" s="106"/>
      <c r="B181" s="11" t="s">
        <v>233</v>
      </c>
      <c r="C181" s="111"/>
      <c r="D181" s="23" t="s">
        <v>155</v>
      </c>
      <c r="E181" s="24" t="s">
        <v>64</v>
      </c>
      <c r="F181" s="24" t="s">
        <v>234</v>
      </c>
      <c r="G181" s="24" t="s">
        <v>63</v>
      </c>
      <c r="H181" s="25">
        <v>2.1</v>
      </c>
      <c r="I181" s="25">
        <v>2.1</v>
      </c>
      <c r="J181" s="25"/>
      <c r="K181" s="25"/>
      <c r="L181" s="25"/>
      <c r="M181" s="25"/>
      <c r="N181" s="25"/>
      <c r="O181" s="25"/>
      <c r="P181" s="25"/>
      <c r="Q181" s="25"/>
      <c r="R181" s="25"/>
      <c r="S181" s="25"/>
      <c r="T181" s="73"/>
    </row>
    <row r="182" spans="1:20" s="15" customFormat="1" ht="12.75" customHeight="1">
      <c r="A182" s="106" t="s">
        <v>235</v>
      </c>
      <c r="B182" s="11"/>
      <c r="C182" s="11" t="s">
        <v>57</v>
      </c>
      <c r="D182" s="23"/>
      <c r="E182" s="23"/>
      <c r="F182" s="23"/>
      <c r="G182" s="23"/>
      <c r="H182" s="25">
        <f>H183</f>
        <v>6377.4129999999996</v>
      </c>
      <c r="I182" s="25">
        <f>I183</f>
        <v>6325.9436100000003</v>
      </c>
      <c r="J182" s="25">
        <f t="shared" ref="J182:O182" si="85">J183</f>
        <v>1430.6472700000002</v>
      </c>
      <c r="K182" s="25">
        <f t="shared" si="85"/>
        <v>1272.19622</v>
      </c>
      <c r="L182" s="25">
        <f t="shared" si="85"/>
        <v>3266.7852599999997</v>
      </c>
      <c r="M182" s="25">
        <f t="shared" si="85"/>
        <v>3176.2881600000001</v>
      </c>
      <c r="N182" s="25">
        <f t="shared" si="85"/>
        <v>5139.3974300000009</v>
      </c>
      <c r="O182" s="25">
        <f t="shared" si="85"/>
        <v>5006.0491199999997</v>
      </c>
      <c r="P182" s="25">
        <f>P183</f>
        <v>7263.3241900000012</v>
      </c>
      <c r="Q182" s="25">
        <f>Q183</f>
        <v>7211.1517229999999</v>
      </c>
      <c r="R182" s="25">
        <f t="shared" ref="R182:S182" si="86">R183</f>
        <v>7443.1570000000011</v>
      </c>
      <c r="S182" s="25">
        <f t="shared" si="86"/>
        <v>7443.1570000000011</v>
      </c>
      <c r="T182" s="73"/>
    </row>
    <row r="183" spans="1:20" s="15" customFormat="1" ht="38.25" customHeight="1">
      <c r="A183" s="106"/>
      <c r="B183" s="11"/>
      <c r="C183" s="109" t="s">
        <v>153</v>
      </c>
      <c r="D183" s="23"/>
      <c r="E183" s="23"/>
      <c r="F183" s="23"/>
      <c r="G183" s="23"/>
      <c r="H183" s="25">
        <f>SUM(H184:H198)</f>
        <v>6377.4129999999996</v>
      </c>
      <c r="I183" s="25">
        <f>SUM(I184:I198)</f>
        <v>6325.9436100000003</v>
      </c>
      <c r="J183" s="25">
        <f t="shared" ref="J183:O183" si="87">SUM(J184:J198)</f>
        <v>1430.6472700000002</v>
      </c>
      <c r="K183" s="25">
        <f t="shared" si="87"/>
        <v>1272.19622</v>
      </c>
      <c r="L183" s="25">
        <f t="shared" si="87"/>
        <v>3266.7852599999997</v>
      </c>
      <c r="M183" s="25">
        <f t="shared" si="87"/>
        <v>3176.2881600000001</v>
      </c>
      <c r="N183" s="25">
        <f t="shared" si="87"/>
        <v>5139.3974300000009</v>
      </c>
      <c r="O183" s="25">
        <f t="shared" si="87"/>
        <v>5006.0491199999997</v>
      </c>
      <c r="P183" s="25">
        <f>SUM(P184:P198)</f>
        <v>7263.3241900000012</v>
      </c>
      <c r="Q183" s="25">
        <f>SUM(Q184:Q198)</f>
        <v>7211.1517229999999</v>
      </c>
      <c r="R183" s="25">
        <f t="shared" ref="R183:S183" si="88">SUM(R184:R198)</f>
        <v>7443.1570000000011</v>
      </c>
      <c r="S183" s="25">
        <f t="shared" si="88"/>
        <v>7443.1570000000011</v>
      </c>
      <c r="T183" s="73"/>
    </row>
    <row r="184" spans="1:20" s="15" customFormat="1" ht="52.8">
      <c r="A184" s="106"/>
      <c r="B184" s="11" t="s">
        <v>236</v>
      </c>
      <c r="C184" s="110"/>
      <c r="D184" s="23" t="s">
        <v>155</v>
      </c>
      <c r="E184" s="24" t="s">
        <v>237</v>
      </c>
      <c r="F184" s="24" t="s">
        <v>238</v>
      </c>
      <c r="G184" s="24" t="s">
        <v>141</v>
      </c>
      <c r="H184" s="25">
        <v>40</v>
      </c>
      <c r="I184" s="25">
        <v>39.903579999999998</v>
      </c>
      <c r="J184" s="25"/>
      <c r="K184" s="25"/>
      <c r="L184" s="25"/>
      <c r="M184" s="25"/>
      <c r="N184" s="25"/>
      <c r="O184" s="25"/>
      <c r="P184" s="25"/>
      <c r="Q184" s="25"/>
      <c r="R184" s="25"/>
      <c r="S184" s="25"/>
      <c r="T184" s="73"/>
    </row>
    <row r="185" spans="1:20" s="15" customFormat="1" ht="52.8">
      <c r="A185" s="106"/>
      <c r="B185" s="11" t="s">
        <v>239</v>
      </c>
      <c r="C185" s="110"/>
      <c r="D185" s="23" t="s">
        <v>155</v>
      </c>
      <c r="E185" s="24" t="s">
        <v>237</v>
      </c>
      <c r="F185" s="24" t="s">
        <v>240</v>
      </c>
      <c r="G185" s="24" t="s">
        <v>141</v>
      </c>
      <c r="H185" s="25">
        <v>1.8</v>
      </c>
      <c r="I185" s="25">
        <v>1.8</v>
      </c>
      <c r="J185" s="25"/>
      <c r="K185" s="25"/>
      <c r="L185" s="25"/>
      <c r="M185" s="25"/>
      <c r="N185" s="25"/>
      <c r="O185" s="25"/>
      <c r="P185" s="25"/>
      <c r="Q185" s="25"/>
      <c r="R185" s="25"/>
      <c r="S185" s="25"/>
      <c r="T185" s="73"/>
    </row>
    <row r="186" spans="1:20" s="15" customFormat="1" ht="40.5" customHeight="1">
      <c r="A186" s="106"/>
      <c r="B186" s="109" t="s">
        <v>241</v>
      </c>
      <c r="C186" s="110"/>
      <c r="D186" s="23" t="s">
        <v>155</v>
      </c>
      <c r="E186" s="24" t="s">
        <v>237</v>
      </c>
      <c r="F186" s="24" t="s">
        <v>242</v>
      </c>
      <c r="G186" s="24" t="s">
        <v>632</v>
      </c>
      <c r="H186" s="25">
        <v>85.3</v>
      </c>
      <c r="I186" s="25">
        <v>85.3</v>
      </c>
      <c r="J186" s="25">
        <v>20.259</v>
      </c>
      <c r="K186" s="25">
        <v>20.259</v>
      </c>
      <c r="L186" s="25">
        <v>20.259</v>
      </c>
      <c r="M186" s="25">
        <v>20.259</v>
      </c>
      <c r="N186" s="25">
        <v>20.259</v>
      </c>
      <c r="O186" s="25">
        <v>20.259</v>
      </c>
      <c r="P186" s="25">
        <v>20.259</v>
      </c>
      <c r="Q186" s="25">
        <v>20.259</v>
      </c>
      <c r="R186" s="25">
        <v>84.067999999999998</v>
      </c>
      <c r="S186" s="25">
        <v>84.067999999999998</v>
      </c>
      <c r="T186" s="73"/>
    </row>
    <row r="187" spans="1:20" s="15" customFormat="1" ht="40.5" customHeight="1">
      <c r="A187" s="106"/>
      <c r="B187" s="111"/>
      <c r="C187" s="110"/>
      <c r="D187" s="23" t="s">
        <v>155</v>
      </c>
      <c r="E187" s="24" t="s">
        <v>237</v>
      </c>
      <c r="F187" s="24" t="s">
        <v>242</v>
      </c>
      <c r="G187" s="24" t="s">
        <v>141</v>
      </c>
      <c r="H187" s="25">
        <v>10</v>
      </c>
      <c r="I187" s="25">
        <v>10</v>
      </c>
      <c r="J187" s="25"/>
      <c r="K187" s="25"/>
      <c r="L187" s="25"/>
      <c r="M187" s="25"/>
      <c r="N187" s="25"/>
      <c r="O187" s="25"/>
      <c r="P187" s="25"/>
      <c r="Q187" s="25"/>
      <c r="R187" s="25">
        <v>18.731999999999999</v>
      </c>
      <c r="S187" s="25">
        <v>18.731999999999999</v>
      </c>
      <c r="T187" s="73"/>
    </row>
    <row r="188" spans="1:20" s="15" customFormat="1" ht="28.5" customHeight="1">
      <c r="A188" s="106"/>
      <c r="B188" s="109" t="s">
        <v>41</v>
      </c>
      <c r="C188" s="110"/>
      <c r="D188" s="23" t="s">
        <v>155</v>
      </c>
      <c r="E188" s="24" t="s">
        <v>186</v>
      </c>
      <c r="F188" s="24" t="s">
        <v>243</v>
      </c>
      <c r="G188" s="24" t="s">
        <v>594</v>
      </c>
      <c r="H188" s="25">
        <f>1640.948</f>
        <v>1640.9480000000001</v>
      </c>
      <c r="I188" s="25">
        <v>1632.348</v>
      </c>
      <c r="J188" s="25">
        <f>216.56631+21.65</f>
        <v>238.21630999999999</v>
      </c>
      <c r="K188" s="25">
        <f>216.55931+15.25</f>
        <v>231.80931000000001</v>
      </c>
      <c r="L188" s="25">
        <f>674.21375+36.55</f>
        <v>710.76374999999996</v>
      </c>
      <c r="M188" s="25">
        <f>674.21375+29.4</f>
        <v>703.61374999999998</v>
      </c>
      <c r="N188" s="25">
        <f>1178.88649+62.9</f>
        <v>1241.7864900000002</v>
      </c>
      <c r="O188" s="25">
        <f>1160.88468+50.92</f>
        <v>1211.80468</v>
      </c>
      <c r="P188" s="25">
        <f>1625.951+87.916</f>
        <v>1713.867</v>
      </c>
      <c r="Q188" s="25">
        <f>1625.94924+86.096</f>
        <v>1712.0452399999999</v>
      </c>
      <c r="R188" s="25">
        <f>1579.82+108.75</f>
        <v>1688.57</v>
      </c>
      <c r="S188" s="25">
        <f>1579.82+108.75</f>
        <v>1688.57</v>
      </c>
      <c r="T188" s="124" t="s">
        <v>755</v>
      </c>
    </row>
    <row r="189" spans="1:20" s="15" customFormat="1" ht="28.5" customHeight="1">
      <c r="A189" s="106"/>
      <c r="B189" s="110"/>
      <c r="C189" s="110"/>
      <c r="D189" s="23" t="s">
        <v>155</v>
      </c>
      <c r="E189" s="24" t="s">
        <v>186</v>
      </c>
      <c r="F189" s="24" t="s">
        <v>243</v>
      </c>
      <c r="G189" s="24" t="s">
        <v>584</v>
      </c>
      <c r="H189" s="25">
        <v>150.19999999999999</v>
      </c>
      <c r="I189" s="25">
        <v>140.18299999999999</v>
      </c>
      <c r="J189" s="25">
        <v>8.6839999999999993</v>
      </c>
      <c r="K189" s="25">
        <v>1.97139</v>
      </c>
      <c r="L189" s="25">
        <v>29.827999999999999</v>
      </c>
      <c r="M189" s="25">
        <v>27.15</v>
      </c>
      <c r="N189" s="25">
        <v>47.804000000000002</v>
      </c>
      <c r="O189" s="25">
        <v>37.097029999999997</v>
      </c>
      <c r="P189" s="25">
        <v>58.987189999999998</v>
      </c>
      <c r="Q189" s="25">
        <v>53.823999999999998</v>
      </c>
      <c r="R189" s="25">
        <v>173.61</v>
      </c>
      <c r="S189" s="25">
        <v>173.61</v>
      </c>
      <c r="T189" s="125"/>
    </row>
    <row r="190" spans="1:20" s="15" customFormat="1" ht="28.5" customHeight="1">
      <c r="A190" s="106"/>
      <c r="B190" s="111"/>
      <c r="C190" s="110"/>
      <c r="D190" s="23" t="s">
        <v>155</v>
      </c>
      <c r="E190" s="24" t="s">
        <v>186</v>
      </c>
      <c r="F190" s="24" t="s">
        <v>243</v>
      </c>
      <c r="G190" s="24" t="s">
        <v>633</v>
      </c>
      <c r="H190" s="25"/>
      <c r="I190" s="25"/>
      <c r="J190" s="25"/>
      <c r="K190" s="25"/>
      <c r="L190" s="25"/>
      <c r="M190" s="25"/>
      <c r="N190" s="25"/>
      <c r="O190" s="25"/>
      <c r="P190" s="25">
        <v>3.4000000000000002E-2</v>
      </c>
      <c r="Q190" s="25">
        <v>3.3329999999999999E-2</v>
      </c>
      <c r="R190" s="25"/>
      <c r="S190" s="25"/>
      <c r="T190" s="125"/>
    </row>
    <row r="191" spans="1:20" s="15" customFormat="1" ht="24" customHeight="1">
      <c r="A191" s="106"/>
      <c r="B191" s="109" t="s">
        <v>40</v>
      </c>
      <c r="C191" s="110"/>
      <c r="D191" s="23" t="s">
        <v>155</v>
      </c>
      <c r="E191" s="24" t="s">
        <v>156</v>
      </c>
      <c r="F191" s="24" t="s">
        <v>244</v>
      </c>
      <c r="G191" s="56" t="s">
        <v>634</v>
      </c>
      <c r="H191" s="25">
        <v>1247.655</v>
      </c>
      <c r="I191" s="25">
        <v>1242.6203700000001</v>
      </c>
      <c r="J191" s="25">
        <f>241.13496+16.35+4.2</f>
        <v>261.68495999999999</v>
      </c>
      <c r="K191" s="25">
        <f>240.99351+15</f>
        <v>255.99350999999999</v>
      </c>
      <c r="L191" s="25">
        <f>575.87755+40.9+12.6</f>
        <v>629.37755000000004</v>
      </c>
      <c r="M191" s="25">
        <f>575.56258+30.9+6.2993</f>
        <v>612.76188000000002</v>
      </c>
      <c r="N191" s="25">
        <f>946.04809+48.75+14.7</f>
        <v>1009.49809</v>
      </c>
      <c r="O191" s="25">
        <f>936.54268+43.75+11.53477</f>
        <v>991.82745</v>
      </c>
      <c r="P191" s="25">
        <f>1319.247+59.5+25.2</f>
        <v>1403.9470000000001</v>
      </c>
      <c r="Q191" s="25">
        <f>1319.24628+56.1+21.3534</f>
        <v>1396.6996799999999</v>
      </c>
      <c r="R191" s="25">
        <f>1319.247+95.5+25.2</f>
        <v>1439.9470000000001</v>
      </c>
      <c r="S191" s="25">
        <f>1319.247+95.5+25.2</f>
        <v>1439.9470000000001</v>
      </c>
      <c r="T191" s="125"/>
    </row>
    <row r="192" spans="1:20" s="15" customFormat="1" ht="12.75" customHeight="1">
      <c r="A192" s="106"/>
      <c r="B192" s="110"/>
      <c r="C192" s="110"/>
      <c r="D192" s="23" t="s">
        <v>155</v>
      </c>
      <c r="E192" s="24" t="s">
        <v>156</v>
      </c>
      <c r="F192" s="24" t="s">
        <v>244</v>
      </c>
      <c r="G192" s="24" t="s">
        <v>584</v>
      </c>
      <c r="H192" s="25">
        <v>782.16499999999996</v>
      </c>
      <c r="I192" s="25">
        <v>772.41740000000004</v>
      </c>
      <c r="J192" s="25">
        <v>336.29500000000002</v>
      </c>
      <c r="K192" s="25">
        <v>284.95458000000002</v>
      </c>
      <c r="L192" s="25">
        <v>678.59400000000005</v>
      </c>
      <c r="M192" s="25">
        <v>665.34783000000004</v>
      </c>
      <c r="N192" s="25">
        <v>1008.468</v>
      </c>
      <c r="O192" s="25">
        <v>1003.18434</v>
      </c>
      <c r="P192" s="25">
        <v>1437.3610000000001</v>
      </c>
      <c r="Q192" s="25">
        <v>1410.72354</v>
      </c>
      <c r="R192" s="25">
        <v>1401.395</v>
      </c>
      <c r="S192" s="25">
        <v>1401.395</v>
      </c>
      <c r="T192" s="125"/>
    </row>
    <row r="193" spans="1:20" s="15" customFormat="1" ht="12.75" customHeight="1">
      <c r="A193" s="106"/>
      <c r="B193" s="110"/>
      <c r="C193" s="110"/>
      <c r="D193" s="23" t="s">
        <v>155</v>
      </c>
      <c r="E193" s="24" t="s">
        <v>156</v>
      </c>
      <c r="F193" s="24" t="s">
        <v>244</v>
      </c>
      <c r="G193" s="24" t="s">
        <v>633</v>
      </c>
      <c r="H193" s="25"/>
      <c r="I193" s="25"/>
      <c r="J193" s="25"/>
      <c r="K193" s="25"/>
      <c r="L193" s="25"/>
      <c r="M193" s="25"/>
      <c r="N193" s="25"/>
      <c r="O193" s="25"/>
      <c r="P193" s="25">
        <v>3.4000000000000002E-2</v>
      </c>
      <c r="Q193" s="25">
        <v>3.3333000000000002E-2</v>
      </c>
      <c r="R193" s="25"/>
      <c r="S193" s="25"/>
      <c r="T193" s="125"/>
    </row>
    <row r="194" spans="1:20" s="15" customFormat="1" ht="12.75" customHeight="1">
      <c r="A194" s="106"/>
      <c r="B194" s="110"/>
      <c r="C194" s="110"/>
      <c r="D194" s="23" t="s">
        <v>155</v>
      </c>
      <c r="E194" s="24" t="s">
        <v>186</v>
      </c>
      <c r="F194" s="24" t="s">
        <v>244</v>
      </c>
      <c r="G194" s="24" t="s">
        <v>599</v>
      </c>
      <c r="H194" s="25">
        <v>2178.5</v>
      </c>
      <c r="I194" s="25">
        <v>2160.5262600000001</v>
      </c>
      <c r="J194" s="25">
        <f>446.024+3.05</f>
        <v>449.07400000000001</v>
      </c>
      <c r="K194" s="25">
        <f>444.38086+2.55</f>
        <v>446.93086</v>
      </c>
      <c r="L194" s="25">
        <f>1042.99728+9.05</f>
        <v>1052.04728</v>
      </c>
      <c r="M194" s="25">
        <f>1042.99428+9.05</f>
        <v>1052.0442799999998</v>
      </c>
      <c r="N194" s="25">
        <f>1580.20517+13.5</f>
        <v>1593.70517</v>
      </c>
      <c r="O194" s="25">
        <f>1564.69839+9.49032</f>
        <v>1574.1887100000001</v>
      </c>
      <c r="P194" s="25">
        <f>2214.155+28</f>
        <v>2242.1550000000002</v>
      </c>
      <c r="Q194" s="25">
        <f>2214.1549+26.15502</f>
        <v>2240.3099200000001</v>
      </c>
      <c r="R194" s="25">
        <f>2214.155+36</f>
        <v>2250.1550000000002</v>
      </c>
      <c r="S194" s="25">
        <f>2214.155+36</f>
        <v>2250.1550000000002</v>
      </c>
      <c r="T194" s="125"/>
    </row>
    <row r="195" spans="1:20" s="15" customFormat="1" ht="13.2">
      <c r="A195" s="106"/>
      <c r="B195" s="110"/>
      <c r="C195" s="110"/>
      <c r="D195" s="23" t="s">
        <v>155</v>
      </c>
      <c r="E195" s="24" t="s">
        <v>186</v>
      </c>
      <c r="F195" s="24" t="s">
        <v>244</v>
      </c>
      <c r="G195" s="24" t="s">
        <v>584</v>
      </c>
      <c r="H195" s="25">
        <v>236.2</v>
      </c>
      <c r="I195" s="25">
        <v>236.2</v>
      </c>
      <c r="J195" s="25">
        <v>116.434</v>
      </c>
      <c r="K195" s="25">
        <v>30.277570000000001</v>
      </c>
      <c r="L195" s="25">
        <v>145.91568000000001</v>
      </c>
      <c r="M195" s="25">
        <v>95.111419999999995</v>
      </c>
      <c r="N195" s="25">
        <v>217.87667999999999</v>
      </c>
      <c r="O195" s="25">
        <v>167.68790999999999</v>
      </c>
      <c r="P195" s="25">
        <v>386.58</v>
      </c>
      <c r="Q195" s="25">
        <v>377.12367999999998</v>
      </c>
      <c r="R195" s="25">
        <v>386.68</v>
      </c>
      <c r="S195" s="25">
        <v>386.68</v>
      </c>
      <c r="T195" s="126"/>
    </row>
    <row r="196" spans="1:20" s="15" customFormat="1" ht="13.2">
      <c r="A196" s="106"/>
      <c r="B196" s="111"/>
      <c r="C196" s="110"/>
      <c r="D196" s="23" t="s">
        <v>155</v>
      </c>
      <c r="E196" s="24" t="s">
        <v>186</v>
      </c>
      <c r="F196" s="24" t="s">
        <v>244</v>
      </c>
      <c r="G196" s="24" t="s">
        <v>633</v>
      </c>
      <c r="H196" s="25"/>
      <c r="I196" s="25"/>
      <c r="J196" s="25"/>
      <c r="K196" s="25"/>
      <c r="L196" s="25"/>
      <c r="M196" s="25"/>
      <c r="N196" s="25"/>
      <c r="O196" s="25"/>
      <c r="P196" s="25">
        <v>0.1</v>
      </c>
      <c r="Q196" s="25">
        <v>0.1</v>
      </c>
      <c r="R196" s="25"/>
      <c r="S196" s="25"/>
      <c r="T196" s="73"/>
    </row>
    <row r="197" spans="1:20" s="15" customFormat="1" ht="70.5" customHeight="1">
      <c r="A197" s="106"/>
      <c r="B197" s="11" t="s">
        <v>245</v>
      </c>
      <c r="C197" s="110"/>
      <c r="D197" s="23" t="s">
        <v>155</v>
      </c>
      <c r="E197" s="24" t="s">
        <v>186</v>
      </c>
      <c r="F197" s="24" t="s">
        <v>246</v>
      </c>
      <c r="G197" s="24" t="s">
        <v>141</v>
      </c>
      <c r="H197" s="25">
        <v>4.4450000000000003</v>
      </c>
      <c r="I197" s="25">
        <v>4.4450000000000003</v>
      </c>
      <c r="J197" s="25"/>
      <c r="K197" s="25"/>
      <c r="L197" s="25"/>
      <c r="M197" s="25"/>
      <c r="N197" s="25"/>
      <c r="O197" s="25"/>
      <c r="P197" s="25"/>
      <c r="Q197" s="25"/>
      <c r="R197" s="25"/>
      <c r="S197" s="25"/>
      <c r="T197" s="73"/>
    </row>
    <row r="198" spans="1:20" s="15" customFormat="1" ht="31.5" customHeight="1">
      <c r="A198" s="106"/>
      <c r="B198" s="11" t="s">
        <v>247</v>
      </c>
      <c r="C198" s="110"/>
      <c r="D198" s="23" t="s">
        <v>155</v>
      </c>
      <c r="E198" s="24" t="s">
        <v>186</v>
      </c>
      <c r="F198" s="24" t="s">
        <v>248</v>
      </c>
      <c r="G198" s="24" t="s">
        <v>141</v>
      </c>
      <c r="H198" s="25">
        <v>0.2</v>
      </c>
      <c r="I198" s="25">
        <v>0.2</v>
      </c>
      <c r="J198" s="25"/>
      <c r="K198" s="25"/>
      <c r="L198" s="25"/>
      <c r="M198" s="25"/>
      <c r="N198" s="25"/>
      <c r="O198" s="25"/>
      <c r="P198" s="25"/>
      <c r="Q198" s="25"/>
      <c r="R198" s="25"/>
      <c r="S198" s="25"/>
      <c r="T198" s="73"/>
    </row>
    <row r="199" spans="1:20" s="22" customFormat="1" ht="21" customHeight="1">
      <c r="A199" s="150" t="s">
        <v>249</v>
      </c>
      <c r="B199" s="153"/>
      <c r="C199" s="55" t="s">
        <v>57</v>
      </c>
      <c r="D199" s="18"/>
      <c r="E199" s="18"/>
      <c r="F199" s="18"/>
      <c r="G199" s="18"/>
      <c r="H199" s="20">
        <f>H201+H202</f>
        <v>294658.26002999995</v>
      </c>
      <c r="I199" s="20">
        <f>I201+I202</f>
        <v>291104.92619999999</v>
      </c>
      <c r="J199" s="20">
        <f t="shared" ref="J199:O199" si="89">J201+J202+J203</f>
        <v>11545.64834</v>
      </c>
      <c r="K199" s="20">
        <f>K201+K202+K203</f>
        <v>11545.64834</v>
      </c>
      <c r="L199" s="20">
        <f t="shared" si="89"/>
        <v>29877.929540000005</v>
      </c>
      <c r="M199" s="20">
        <f t="shared" si="89"/>
        <v>29815.775570000002</v>
      </c>
      <c r="N199" s="20">
        <f>N201+N202+N203</f>
        <v>46666.204460000008</v>
      </c>
      <c r="O199" s="20">
        <f t="shared" si="89"/>
        <v>46413.678200000009</v>
      </c>
      <c r="P199" s="20">
        <f>P201+P202+P203</f>
        <v>66693.689689999999</v>
      </c>
      <c r="Q199" s="20">
        <f t="shared" ref="Q199:S199" si="90">Q201+Q202+Q203</f>
        <v>66558.378750000003</v>
      </c>
      <c r="R199" s="20">
        <f t="shared" si="90"/>
        <v>64377.399999999994</v>
      </c>
      <c r="S199" s="20">
        <f t="shared" si="90"/>
        <v>63968.5</v>
      </c>
      <c r="T199" s="76"/>
    </row>
    <row r="200" spans="1:20" s="22" customFormat="1" ht="21" customHeight="1">
      <c r="A200" s="151"/>
      <c r="B200" s="153"/>
      <c r="C200" s="55" t="s">
        <v>250</v>
      </c>
      <c r="D200" s="18"/>
      <c r="E200" s="18"/>
      <c r="F200" s="18"/>
      <c r="G200" s="18"/>
      <c r="H200" s="19"/>
      <c r="I200" s="19"/>
      <c r="J200" s="19"/>
      <c r="K200" s="19"/>
      <c r="L200" s="19"/>
      <c r="M200" s="19"/>
      <c r="N200" s="19"/>
      <c r="O200" s="19"/>
      <c r="P200" s="19"/>
      <c r="Q200" s="19"/>
      <c r="R200" s="19"/>
      <c r="S200" s="19"/>
      <c r="T200" s="76"/>
    </row>
    <row r="201" spans="1:20" s="22" customFormat="1" ht="54" customHeight="1">
      <c r="A201" s="151"/>
      <c r="B201" s="153"/>
      <c r="C201" s="55" t="s">
        <v>251</v>
      </c>
      <c r="D201" s="26" t="s">
        <v>252</v>
      </c>
      <c r="E201" s="18"/>
      <c r="F201" s="18"/>
      <c r="G201" s="18"/>
      <c r="H201" s="19">
        <f>H206+H232+H243+H249+H251</f>
        <v>294415.35102999996</v>
      </c>
      <c r="I201" s="19">
        <f>I206+I232+I243+I249+I251</f>
        <v>291010.92119999998</v>
      </c>
      <c r="J201" s="19">
        <f>J255+J259+J265</f>
        <v>11545.64834</v>
      </c>
      <c r="K201" s="19">
        <f>K255+K259+K265</f>
        <v>11545.64834</v>
      </c>
      <c r="L201" s="19">
        <f t="shared" ref="L201:O201" si="91">L255+L259+L265</f>
        <v>29711.281540000004</v>
      </c>
      <c r="M201" s="19">
        <f t="shared" si="91"/>
        <v>29666.871570000003</v>
      </c>
      <c r="N201" s="19">
        <f>N255+N259+N265</f>
        <v>46499.556460000007</v>
      </c>
      <c r="O201" s="19">
        <f t="shared" si="91"/>
        <v>46264.774200000007</v>
      </c>
      <c r="P201" s="19">
        <f>P255+P259+P265</f>
        <v>65477.089690000001</v>
      </c>
      <c r="Q201" s="19">
        <f t="shared" ref="Q201:S201" si="92">Q255+Q259+Q265</f>
        <v>65385.049750000006</v>
      </c>
      <c r="R201" s="19">
        <f t="shared" si="92"/>
        <v>64185.299999999996</v>
      </c>
      <c r="S201" s="19">
        <f t="shared" si="92"/>
        <v>63968.5</v>
      </c>
      <c r="T201" s="76"/>
    </row>
    <row r="202" spans="1:20" s="22" customFormat="1" ht="42.75" customHeight="1">
      <c r="A202" s="151"/>
      <c r="B202" s="153"/>
      <c r="C202" s="55" t="s">
        <v>132</v>
      </c>
      <c r="D202" s="26" t="s">
        <v>59</v>
      </c>
      <c r="E202" s="18"/>
      <c r="F202" s="18"/>
      <c r="G202" s="18"/>
      <c r="H202" s="19">
        <f>H231</f>
        <v>242.90899999999999</v>
      </c>
      <c r="I202" s="19">
        <f>I231</f>
        <v>94.004999999999995</v>
      </c>
      <c r="J202" s="19">
        <f t="shared" ref="J202:O202" si="93">J274</f>
        <v>0</v>
      </c>
      <c r="K202" s="19">
        <f t="shared" si="93"/>
        <v>0</v>
      </c>
      <c r="L202" s="19">
        <f t="shared" si="93"/>
        <v>166.648</v>
      </c>
      <c r="M202" s="19">
        <f t="shared" si="93"/>
        <v>148.904</v>
      </c>
      <c r="N202" s="19">
        <f t="shared" si="93"/>
        <v>166.648</v>
      </c>
      <c r="O202" s="19">
        <f t="shared" si="93"/>
        <v>148.904</v>
      </c>
      <c r="P202" s="19">
        <f>P274</f>
        <v>192.1</v>
      </c>
      <c r="Q202" s="19">
        <f t="shared" ref="Q202:S202" si="94">Q274</f>
        <v>148.904</v>
      </c>
      <c r="R202" s="19">
        <f t="shared" si="94"/>
        <v>192.1</v>
      </c>
      <c r="S202" s="19">
        <f t="shared" si="94"/>
        <v>0</v>
      </c>
      <c r="T202" s="76"/>
    </row>
    <row r="203" spans="1:20" s="22" customFormat="1" ht="42.75" customHeight="1">
      <c r="A203" s="152"/>
      <c r="B203" s="153"/>
      <c r="C203" s="55" t="s">
        <v>457</v>
      </c>
      <c r="D203" s="26" t="s">
        <v>155</v>
      </c>
      <c r="E203" s="18"/>
      <c r="F203" s="18"/>
      <c r="G203" s="18"/>
      <c r="H203" s="19"/>
      <c r="I203" s="19"/>
      <c r="J203" s="19">
        <f t="shared" ref="J203:O203" si="95">J275</f>
        <v>0</v>
      </c>
      <c r="K203" s="19">
        <f t="shared" si="95"/>
        <v>0</v>
      </c>
      <c r="L203" s="19">
        <f t="shared" si="95"/>
        <v>0</v>
      </c>
      <c r="M203" s="19">
        <f t="shared" si="95"/>
        <v>0</v>
      </c>
      <c r="N203" s="19">
        <f t="shared" si="95"/>
        <v>0</v>
      </c>
      <c r="O203" s="19">
        <f t="shared" si="95"/>
        <v>0</v>
      </c>
      <c r="P203" s="19">
        <f>P275</f>
        <v>1024.5</v>
      </c>
      <c r="Q203" s="19">
        <f t="shared" ref="Q203:S203" si="96">Q275</f>
        <v>1024.425</v>
      </c>
      <c r="R203" s="19">
        <f t="shared" si="96"/>
        <v>0</v>
      </c>
      <c r="S203" s="19">
        <f t="shared" si="96"/>
        <v>0</v>
      </c>
      <c r="T203" s="76"/>
    </row>
    <row r="204" spans="1:20" s="62" customFormat="1" ht="22.5" customHeight="1">
      <c r="A204" s="148" t="s">
        <v>708</v>
      </c>
      <c r="B204" s="149"/>
      <c r="C204" s="60"/>
      <c r="D204" s="61"/>
      <c r="E204" s="59"/>
      <c r="F204" s="59"/>
      <c r="G204" s="59"/>
      <c r="H204" s="57"/>
      <c r="I204" s="57"/>
      <c r="J204" s="57"/>
      <c r="K204" s="57"/>
      <c r="L204" s="57"/>
      <c r="M204" s="57"/>
      <c r="N204" s="57"/>
      <c r="O204" s="57"/>
      <c r="P204" s="57"/>
      <c r="Q204" s="57"/>
      <c r="R204" s="57"/>
      <c r="S204" s="57"/>
      <c r="T204" s="74"/>
    </row>
    <row r="205" spans="1:20" s="15" customFormat="1" ht="26.4">
      <c r="A205" s="106" t="s">
        <v>253</v>
      </c>
      <c r="B205" s="52"/>
      <c r="C205" s="52" t="s">
        <v>57</v>
      </c>
      <c r="D205" s="23"/>
      <c r="E205" s="24"/>
      <c r="F205" s="24"/>
      <c r="G205" s="24"/>
      <c r="H205" s="25">
        <f>H206+H231</f>
        <v>31807.850419999995</v>
      </c>
      <c r="I205" s="25">
        <f>I206+I231</f>
        <v>31508.608520000002</v>
      </c>
      <c r="J205" s="25"/>
      <c r="K205" s="25"/>
      <c r="L205" s="25"/>
      <c r="M205" s="25"/>
      <c r="N205" s="25"/>
      <c r="O205" s="25"/>
      <c r="P205" s="25"/>
      <c r="Q205" s="25"/>
      <c r="R205" s="25"/>
      <c r="S205" s="25"/>
      <c r="T205" s="73"/>
    </row>
    <row r="206" spans="1:20" s="15" customFormat="1" ht="63.75" customHeight="1">
      <c r="A206" s="106"/>
      <c r="B206" s="52"/>
      <c r="C206" s="109" t="s">
        <v>254</v>
      </c>
      <c r="D206" s="23" t="s">
        <v>252</v>
      </c>
      <c r="E206" s="24"/>
      <c r="F206" s="24"/>
      <c r="G206" s="24"/>
      <c r="H206" s="25">
        <f>SUM(H207:H230)</f>
        <v>31564.941419999996</v>
      </c>
      <c r="I206" s="25">
        <f>SUM(I207:I230)</f>
        <v>31414.603520000001</v>
      </c>
      <c r="J206" s="25"/>
      <c r="K206" s="25"/>
      <c r="L206" s="25"/>
      <c r="M206" s="25"/>
      <c r="N206" s="25"/>
      <c r="O206" s="25"/>
      <c r="P206" s="25"/>
      <c r="Q206" s="25"/>
      <c r="R206" s="25"/>
      <c r="S206" s="25"/>
      <c r="T206" s="73"/>
    </row>
    <row r="207" spans="1:20" s="15" customFormat="1" ht="171.6">
      <c r="A207" s="106"/>
      <c r="B207" s="52" t="s">
        <v>255</v>
      </c>
      <c r="C207" s="110"/>
      <c r="D207" s="23" t="s">
        <v>252</v>
      </c>
      <c r="E207" s="24" t="s">
        <v>78</v>
      </c>
      <c r="F207" s="24" t="s">
        <v>256</v>
      </c>
      <c r="G207" s="24" t="s">
        <v>257</v>
      </c>
      <c r="H207" s="25">
        <v>772.1</v>
      </c>
      <c r="I207" s="25">
        <v>767.20030999999994</v>
      </c>
      <c r="J207" s="25"/>
      <c r="K207" s="25"/>
      <c r="L207" s="25"/>
      <c r="M207" s="25"/>
      <c r="N207" s="25"/>
      <c r="O207" s="25"/>
      <c r="P207" s="25"/>
      <c r="Q207" s="25"/>
      <c r="R207" s="25"/>
      <c r="S207" s="25"/>
      <c r="T207" s="77"/>
    </row>
    <row r="208" spans="1:20" s="15" customFormat="1" ht="105.6">
      <c r="A208" s="106"/>
      <c r="B208" s="52" t="s">
        <v>258</v>
      </c>
      <c r="C208" s="110"/>
      <c r="D208" s="23" t="s">
        <v>252</v>
      </c>
      <c r="E208" s="24" t="s">
        <v>78</v>
      </c>
      <c r="F208" s="24" t="s">
        <v>259</v>
      </c>
      <c r="G208" s="24" t="s">
        <v>257</v>
      </c>
      <c r="H208" s="25">
        <v>12262.65</v>
      </c>
      <c r="I208" s="25">
        <v>12255.71975</v>
      </c>
      <c r="J208" s="25"/>
      <c r="K208" s="25"/>
      <c r="L208" s="25"/>
      <c r="M208" s="25"/>
      <c r="N208" s="25"/>
      <c r="O208" s="25"/>
      <c r="P208" s="25"/>
      <c r="Q208" s="25"/>
      <c r="R208" s="25"/>
      <c r="S208" s="25"/>
      <c r="T208" s="77"/>
    </row>
    <row r="209" spans="1:20" s="15" customFormat="1" ht="171.6">
      <c r="A209" s="106"/>
      <c r="B209" s="52" t="s">
        <v>260</v>
      </c>
      <c r="C209" s="110"/>
      <c r="D209" s="23" t="s">
        <v>252</v>
      </c>
      <c r="E209" s="24" t="s">
        <v>78</v>
      </c>
      <c r="F209" s="24" t="s">
        <v>261</v>
      </c>
      <c r="G209" s="24" t="s">
        <v>257</v>
      </c>
      <c r="H209" s="25">
        <v>11260.55</v>
      </c>
      <c r="I209" s="25">
        <v>11258.321749999999</v>
      </c>
      <c r="J209" s="25"/>
      <c r="K209" s="25"/>
      <c r="L209" s="25"/>
      <c r="M209" s="25"/>
      <c r="N209" s="25"/>
      <c r="O209" s="25"/>
      <c r="P209" s="25"/>
      <c r="Q209" s="25"/>
      <c r="R209" s="25"/>
      <c r="S209" s="25"/>
      <c r="T209" s="77"/>
    </row>
    <row r="210" spans="1:20" s="15" customFormat="1" ht="409.6">
      <c r="A210" s="106"/>
      <c r="B210" s="52" t="s">
        <v>262</v>
      </c>
      <c r="C210" s="110"/>
      <c r="D210" s="23" t="s">
        <v>252</v>
      </c>
      <c r="E210" s="24" t="s">
        <v>78</v>
      </c>
      <c r="F210" s="24" t="s">
        <v>263</v>
      </c>
      <c r="G210" s="24" t="s">
        <v>257</v>
      </c>
      <c r="H210" s="25">
        <v>195.5</v>
      </c>
      <c r="I210" s="25">
        <v>171.25097</v>
      </c>
      <c r="J210" s="25"/>
      <c r="K210" s="25"/>
      <c r="L210" s="25"/>
      <c r="M210" s="25"/>
      <c r="N210" s="25"/>
      <c r="O210" s="25"/>
      <c r="P210" s="25"/>
      <c r="Q210" s="25"/>
      <c r="R210" s="25"/>
      <c r="S210" s="25"/>
      <c r="T210" s="77" t="s">
        <v>567</v>
      </c>
    </row>
    <row r="211" spans="1:20" s="15" customFormat="1" ht="158.4">
      <c r="A211" s="106"/>
      <c r="B211" s="52" t="s">
        <v>264</v>
      </c>
      <c r="C211" s="110"/>
      <c r="D211" s="23" t="s">
        <v>252</v>
      </c>
      <c r="E211" s="24" t="s">
        <v>78</v>
      </c>
      <c r="F211" s="24" t="s">
        <v>265</v>
      </c>
      <c r="G211" s="24" t="s">
        <v>257</v>
      </c>
      <c r="H211" s="25">
        <v>1769.998</v>
      </c>
      <c r="I211" s="25">
        <v>1765.5152800000001</v>
      </c>
      <c r="J211" s="25"/>
      <c r="K211" s="25"/>
      <c r="L211" s="25"/>
      <c r="M211" s="25"/>
      <c r="N211" s="25"/>
      <c r="O211" s="25"/>
      <c r="P211" s="25"/>
      <c r="Q211" s="25"/>
      <c r="R211" s="25"/>
      <c r="S211" s="25"/>
      <c r="T211" s="77"/>
    </row>
    <row r="212" spans="1:20" s="15" customFormat="1" ht="132">
      <c r="A212" s="106"/>
      <c r="B212" s="52" t="s">
        <v>266</v>
      </c>
      <c r="C212" s="110"/>
      <c r="D212" s="23" t="s">
        <v>252</v>
      </c>
      <c r="E212" s="24" t="s">
        <v>78</v>
      </c>
      <c r="F212" s="24" t="s">
        <v>267</v>
      </c>
      <c r="G212" s="24" t="s">
        <v>257</v>
      </c>
      <c r="H212" s="25">
        <v>1030.5</v>
      </c>
      <c r="I212" s="25">
        <v>990.14811999999995</v>
      </c>
      <c r="J212" s="25"/>
      <c r="K212" s="25"/>
      <c r="L212" s="25"/>
      <c r="M212" s="25"/>
      <c r="N212" s="25"/>
      <c r="O212" s="25"/>
      <c r="P212" s="25"/>
      <c r="Q212" s="25"/>
      <c r="R212" s="25"/>
      <c r="S212" s="25"/>
      <c r="T212" s="77"/>
    </row>
    <row r="213" spans="1:20" s="15" customFormat="1" ht="118.8">
      <c r="A213" s="106"/>
      <c r="B213" s="52" t="s">
        <v>268</v>
      </c>
      <c r="C213" s="110"/>
      <c r="D213" s="23" t="s">
        <v>252</v>
      </c>
      <c r="E213" s="24" t="s">
        <v>78</v>
      </c>
      <c r="F213" s="24" t="s">
        <v>269</v>
      </c>
      <c r="G213" s="24" t="s">
        <v>257</v>
      </c>
      <c r="H213" s="25">
        <v>311.74630999999999</v>
      </c>
      <c r="I213" s="25">
        <v>311.74578000000002</v>
      </c>
      <c r="J213" s="25"/>
      <c r="K213" s="25"/>
      <c r="L213" s="25"/>
      <c r="M213" s="25"/>
      <c r="N213" s="25"/>
      <c r="O213" s="25"/>
      <c r="P213" s="25"/>
      <c r="Q213" s="25"/>
      <c r="R213" s="25"/>
      <c r="S213" s="25"/>
      <c r="T213" s="73"/>
    </row>
    <row r="214" spans="1:20" s="15" customFormat="1" ht="250.8">
      <c r="A214" s="106"/>
      <c r="B214" s="52" t="s">
        <v>270</v>
      </c>
      <c r="C214" s="110"/>
      <c r="D214" s="23" t="s">
        <v>252</v>
      </c>
      <c r="E214" s="24" t="s">
        <v>271</v>
      </c>
      <c r="F214" s="24" t="s">
        <v>272</v>
      </c>
      <c r="G214" s="24" t="s">
        <v>63</v>
      </c>
      <c r="H214" s="25">
        <v>407.8</v>
      </c>
      <c r="I214" s="25">
        <v>384.97201999999999</v>
      </c>
      <c r="J214" s="25"/>
      <c r="K214" s="25"/>
      <c r="L214" s="25"/>
      <c r="M214" s="25"/>
      <c r="N214" s="25"/>
      <c r="O214" s="25"/>
      <c r="P214" s="25"/>
      <c r="Q214" s="25"/>
      <c r="R214" s="25"/>
      <c r="S214" s="25"/>
      <c r="T214" s="77"/>
    </row>
    <row r="215" spans="1:20" s="15" customFormat="1" ht="158.4">
      <c r="A215" s="106"/>
      <c r="B215" s="52" t="s">
        <v>273</v>
      </c>
      <c r="C215" s="110"/>
      <c r="D215" s="23" t="s">
        <v>252</v>
      </c>
      <c r="E215" s="24" t="s">
        <v>78</v>
      </c>
      <c r="F215" s="24" t="s">
        <v>274</v>
      </c>
      <c r="G215" s="24" t="s">
        <v>257</v>
      </c>
      <c r="H215" s="25">
        <v>190</v>
      </c>
      <c r="I215" s="25">
        <v>189.99950000000001</v>
      </c>
      <c r="J215" s="25"/>
      <c r="K215" s="25"/>
      <c r="L215" s="25"/>
      <c r="M215" s="25"/>
      <c r="N215" s="25"/>
      <c r="O215" s="25"/>
      <c r="P215" s="25"/>
      <c r="Q215" s="25"/>
      <c r="R215" s="25"/>
      <c r="S215" s="25"/>
      <c r="T215" s="73"/>
    </row>
    <row r="216" spans="1:20" s="15" customFormat="1" ht="118.8">
      <c r="A216" s="106"/>
      <c r="B216" s="52" t="s">
        <v>275</v>
      </c>
      <c r="C216" s="110"/>
      <c r="D216" s="23" t="s">
        <v>252</v>
      </c>
      <c r="E216" s="24" t="s">
        <v>78</v>
      </c>
      <c r="F216" s="24" t="s">
        <v>276</v>
      </c>
      <c r="G216" s="24" t="s">
        <v>257</v>
      </c>
      <c r="H216" s="25">
        <v>690.73068999999998</v>
      </c>
      <c r="I216" s="25">
        <v>690.71298999999999</v>
      </c>
      <c r="J216" s="25"/>
      <c r="K216" s="25"/>
      <c r="L216" s="25"/>
      <c r="M216" s="25"/>
      <c r="N216" s="25"/>
      <c r="O216" s="25"/>
      <c r="P216" s="25"/>
      <c r="Q216" s="25"/>
      <c r="R216" s="25"/>
      <c r="S216" s="25"/>
      <c r="T216" s="77"/>
    </row>
    <row r="217" spans="1:20" s="15" customFormat="1" ht="409.6">
      <c r="A217" s="106"/>
      <c r="B217" s="52" t="s">
        <v>277</v>
      </c>
      <c r="C217" s="110"/>
      <c r="D217" s="23" t="s">
        <v>252</v>
      </c>
      <c r="E217" s="24" t="s">
        <v>78</v>
      </c>
      <c r="F217" s="24" t="s">
        <v>278</v>
      </c>
      <c r="G217" s="24" t="s">
        <v>257</v>
      </c>
      <c r="H217" s="25">
        <v>458.88099999999997</v>
      </c>
      <c r="I217" s="25">
        <v>458.88099999999997</v>
      </c>
      <c r="J217" s="25"/>
      <c r="K217" s="25"/>
      <c r="L217" s="25"/>
      <c r="M217" s="25"/>
      <c r="N217" s="25"/>
      <c r="O217" s="25"/>
      <c r="P217" s="25"/>
      <c r="Q217" s="25"/>
      <c r="R217" s="25"/>
      <c r="S217" s="25"/>
      <c r="T217" s="73"/>
    </row>
    <row r="218" spans="1:20" s="15" customFormat="1" ht="66">
      <c r="A218" s="106"/>
      <c r="B218" s="52" t="s">
        <v>279</v>
      </c>
      <c r="C218" s="110"/>
      <c r="D218" s="23" t="s">
        <v>252</v>
      </c>
      <c r="E218" s="24" t="s">
        <v>271</v>
      </c>
      <c r="F218" s="24" t="s">
        <v>280</v>
      </c>
      <c r="G218" s="24" t="s">
        <v>63</v>
      </c>
      <c r="H218" s="25">
        <v>611.70000000000005</v>
      </c>
      <c r="I218" s="25">
        <v>577.45803000000001</v>
      </c>
      <c r="J218" s="25"/>
      <c r="K218" s="25"/>
      <c r="L218" s="25"/>
      <c r="M218" s="25"/>
      <c r="N218" s="25"/>
      <c r="O218" s="25"/>
      <c r="P218" s="25"/>
      <c r="Q218" s="25"/>
      <c r="R218" s="25"/>
      <c r="S218" s="25"/>
      <c r="T218" s="77"/>
    </row>
    <row r="219" spans="1:20" s="15" customFormat="1" ht="52.8">
      <c r="A219" s="106"/>
      <c r="B219" s="52" t="s">
        <v>281</v>
      </c>
      <c r="C219" s="110"/>
      <c r="D219" s="23" t="s">
        <v>252</v>
      </c>
      <c r="E219" s="24" t="s">
        <v>78</v>
      </c>
      <c r="F219" s="24" t="s">
        <v>282</v>
      </c>
      <c r="G219" s="24" t="s">
        <v>257</v>
      </c>
      <c r="H219" s="25">
        <v>25.76</v>
      </c>
      <c r="I219" s="25">
        <v>25.76</v>
      </c>
      <c r="J219" s="25"/>
      <c r="K219" s="25"/>
      <c r="L219" s="25"/>
      <c r="M219" s="25"/>
      <c r="N219" s="25"/>
      <c r="O219" s="25"/>
      <c r="P219" s="25"/>
      <c r="Q219" s="25"/>
      <c r="R219" s="25"/>
      <c r="S219" s="25"/>
      <c r="T219" s="73"/>
    </row>
    <row r="220" spans="1:20" s="15" customFormat="1" ht="52.8">
      <c r="A220" s="106"/>
      <c r="B220" s="52" t="s">
        <v>283</v>
      </c>
      <c r="C220" s="110"/>
      <c r="D220" s="23" t="s">
        <v>252</v>
      </c>
      <c r="E220" s="24" t="s">
        <v>78</v>
      </c>
      <c r="F220" s="24" t="s">
        <v>284</v>
      </c>
      <c r="G220" s="24" t="s">
        <v>257</v>
      </c>
      <c r="H220" s="25">
        <v>643.76661999999999</v>
      </c>
      <c r="I220" s="25">
        <v>643.76661999999999</v>
      </c>
      <c r="J220" s="25"/>
      <c r="K220" s="25"/>
      <c r="L220" s="25"/>
      <c r="M220" s="25"/>
      <c r="N220" s="25"/>
      <c r="O220" s="25"/>
      <c r="P220" s="25"/>
      <c r="Q220" s="25"/>
      <c r="R220" s="25"/>
      <c r="S220" s="25"/>
      <c r="T220" s="73"/>
    </row>
    <row r="221" spans="1:20" s="15" customFormat="1" ht="79.2">
      <c r="A221" s="106"/>
      <c r="B221" s="52" t="s">
        <v>285</v>
      </c>
      <c r="C221" s="110"/>
      <c r="D221" s="23" t="s">
        <v>252</v>
      </c>
      <c r="E221" s="24" t="s">
        <v>78</v>
      </c>
      <c r="F221" s="24" t="s">
        <v>286</v>
      </c>
      <c r="G221" s="24" t="s">
        <v>257</v>
      </c>
      <c r="H221" s="25">
        <v>21.258800000000001</v>
      </c>
      <c r="I221" s="25">
        <v>11.971399999999999</v>
      </c>
      <c r="J221" s="25"/>
      <c r="K221" s="25"/>
      <c r="L221" s="25"/>
      <c r="M221" s="25"/>
      <c r="N221" s="25"/>
      <c r="O221" s="25"/>
      <c r="P221" s="25"/>
      <c r="Q221" s="25"/>
      <c r="R221" s="25"/>
      <c r="S221" s="25"/>
      <c r="T221" s="77"/>
    </row>
    <row r="222" spans="1:20" s="15" customFormat="1" ht="26.4">
      <c r="A222" s="106"/>
      <c r="B222" s="52" t="s">
        <v>287</v>
      </c>
      <c r="C222" s="110"/>
      <c r="D222" s="23" t="s">
        <v>252</v>
      </c>
      <c r="E222" s="24" t="s">
        <v>288</v>
      </c>
      <c r="F222" s="24" t="s">
        <v>289</v>
      </c>
      <c r="G222" s="24" t="s">
        <v>290</v>
      </c>
      <c r="H222" s="25">
        <v>477.17399</v>
      </c>
      <c r="I222" s="25">
        <v>477.17399</v>
      </c>
      <c r="J222" s="25"/>
      <c r="K222" s="25"/>
      <c r="L222" s="25"/>
      <c r="M222" s="25"/>
      <c r="N222" s="25"/>
      <c r="O222" s="25"/>
      <c r="P222" s="25"/>
      <c r="Q222" s="25"/>
      <c r="R222" s="25"/>
      <c r="S222" s="25"/>
      <c r="T222" s="73"/>
    </row>
    <row r="223" spans="1:20" s="15" customFormat="1" ht="26.4">
      <c r="A223" s="106"/>
      <c r="B223" s="52" t="s">
        <v>291</v>
      </c>
      <c r="C223" s="110"/>
      <c r="D223" s="23" t="s">
        <v>252</v>
      </c>
      <c r="E223" s="24" t="s">
        <v>78</v>
      </c>
      <c r="F223" s="24" t="s">
        <v>292</v>
      </c>
      <c r="G223" s="24" t="s">
        <v>63</v>
      </c>
      <c r="H223" s="25">
        <v>99</v>
      </c>
      <c r="I223" s="25">
        <v>99</v>
      </c>
      <c r="J223" s="25"/>
      <c r="K223" s="25"/>
      <c r="L223" s="25"/>
      <c r="M223" s="25"/>
      <c r="N223" s="25"/>
      <c r="O223" s="25"/>
      <c r="P223" s="25"/>
      <c r="Q223" s="25"/>
      <c r="R223" s="25"/>
      <c r="S223" s="25"/>
      <c r="T223" s="73"/>
    </row>
    <row r="224" spans="1:20" s="15" customFormat="1" ht="105.6">
      <c r="A224" s="106"/>
      <c r="B224" s="52" t="s">
        <v>293</v>
      </c>
      <c r="C224" s="110"/>
      <c r="D224" s="23" t="s">
        <v>252</v>
      </c>
      <c r="E224" s="24" t="s">
        <v>78</v>
      </c>
      <c r="F224" s="24" t="s">
        <v>294</v>
      </c>
      <c r="G224" s="24" t="s">
        <v>257</v>
      </c>
      <c r="H224" s="25">
        <v>60.24</v>
      </c>
      <c r="I224" s="25">
        <v>59.42</v>
      </c>
      <c r="J224" s="25"/>
      <c r="K224" s="25"/>
      <c r="L224" s="25"/>
      <c r="M224" s="25"/>
      <c r="N224" s="25"/>
      <c r="O224" s="25"/>
      <c r="P224" s="25"/>
      <c r="Q224" s="25"/>
      <c r="R224" s="25"/>
      <c r="S224" s="25"/>
      <c r="T224" s="77"/>
    </row>
    <row r="225" spans="1:20" s="15" customFormat="1" ht="66">
      <c r="A225" s="106"/>
      <c r="B225" s="52" t="s">
        <v>295</v>
      </c>
      <c r="C225" s="110"/>
      <c r="D225" s="23" t="s">
        <v>252</v>
      </c>
      <c r="E225" s="24" t="s">
        <v>78</v>
      </c>
      <c r="F225" s="24" t="s">
        <v>296</v>
      </c>
      <c r="G225" s="24" t="s">
        <v>257</v>
      </c>
      <c r="H225" s="25">
        <v>11</v>
      </c>
      <c r="I225" s="25">
        <v>11</v>
      </c>
      <c r="J225" s="25"/>
      <c r="K225" s="25"/>
      <c r="L225" s="25"/>
      <c r="M225" s="25"/>
      <c r="N225" s="25"/>
      <c r="O225" s="25"/>
      <c r="P225" s="25"/>
      <c r="Q225" s="25"/>
      <c r="R225" s="25"/>
      <c r="S225" s="25"/>
      <c r="T225" s="73"/>
    </row>
    <row r="226" spans="1:20" s="15" customFormat="1" ht="105.6">
      <c r="A226" s="106"/>
      <c r="B226" s="52" t="s">
        <v>297</v>
      </c>
      <c r="C226" s="110"/>
      <c r="D226" s="23" t="s">
        <v>252</v>
      </c>
      <c r="E226" s="24" t="s">
        <v>78</v>
      </c>
      <c r="F226" s="24" t="s">
        <v>298</v>
      </c>
      <c r="G226" s="24" t="s">
        <v>257</v>
      </c>
      <c r="H226" s="25">
        <v>25.1</v>
      </c>
      <c r="I226" s="25">
        <v>25.1</v>
      </c>
      <c r="J226" s="25"/>
      <c r="K226" s="25"/>
      <c r="L226" s="25"/>
      <c r="M226" s="25"/>
      <c r="N226" s="25"/>
      <c r="O226" s="25"/>
      <c r="P226" s="25"/>
      <c r="Q226" s="25"/>
      <c r="R226" s="25"/>
      <c r="S226" s="25"/>
      <c r="T226" s="73"/>
    </row>
    <row r="227" spans="1:20" s="15" customFormat="1" ht="92.4">
      <c r="A227" s="106"/>
      <c r="B227" s="52" t="s">
        <v>299</v>
      </c>
      <c r="C227" s="110"/>
      <c r="D227" s="23" t="s">
        <v>252</v>
      </c>
      <c r="E227" s="24" t="s">
        <v>271</v>
      </c>
      <c r="F227" s="24" t="s">
        <v>300</v>
      </c>
      <c r="G227" s="24" t="s">
        <v>301</v>
      </c>
      <c r="H227" s="25">
        <v>20</v>
      </c>
      <c r="I227" s="25">
        <v>20</v>
      </c>
      <c r="J227" s="25"/>
      <c r="K227" s="25"/>
      <c r="L227" s="25"/>
      <c r="M227" s="25"/>
      <c r="N227" s="25"/>
      <c r="O227" s="25"/>
      <c r="P227" s="25"/>
      <c r="Q227" s="25"/>
      <c r="R227" s="25"/>
      <c r="S227" s="25"/>
      <c r="T227" s="73"/>
    </row>
    <row r="228" spans="1:20" s="15" customFormat="1" ht="39.6">
      <c r="A228" s="106"/>
      <c r="B228" s="52" t="s">
        <v>302</v>
      </c>
      <c r="C228" s="110"/>
      <c r="D228" s="23" t="s">
        <v>252</v>
      </c>
      <c r="E228" s="24" t="s">
        <v>78</v>
      </c>
      <c r="F228" s="24" t="s">
        <v>303</v>
      </c>
      <c r="G228" s="24" t="s">
        <v>257</v>
      </c>
      <c r="H228" s="25">
        <v>14.4</v>
      </c>
      <c r="I228" s="25">
        <v>14.4</v>
      </c>
      <c r="J228" s="25"/>
      <c r="K228" s="25"/>
      <c r="L228" s="25"/>
      <c r="M228" s="25"/>
      <c r="N228" s="25"/>
      <c r="O228" s="25"/>
      <c r="P228" s="25"/>
      <c r="Q228" s="25"/>
      <c r="R228" s="25"/>
      <c r="S228" s="25"/>
      <c r="T228" s="73"/>
    </row>
    <row r="229" spans="1:20" s="15" customFormat="1" ht="13.2">
      <c r="A229" s="106"/>
      <c r="B229" s="52" t="s">
        <v>304</v>
      </c>
      <c r="C229" s="110"/>
      <c r="D229" s="23" t="s">
        <v>252</v>
      </c>
      <c r="E229" s="24" t="s">
        <v>78</v>
      </c>
      <c r="F229" s="24" t="s">
        <v>305</v>
      </c>
      <c r="G229" s="24" t="s">
        <v>257</v>
      </c>
      <c r="H229" s="25">
        <v>12.6</v>
      </c>
      <c r="I229" s="25">
        <v>12.6</v>
      </c>
      <c r="J229" s="25"/>
      <c r="K229" s="25"/>
      <c r="L229" s="25"/>
      <c r="M229" s="25"/>
      <c r="N229" s="25"/>
      <c r="O229" s="25"/>
      <c r="P229" s="25"/>
      <c r="Q229" s="25"/>
      <c r="R229" s="25"/>
      <c r="S229" s="25"/>
      <c r="T229" s="73"/>
    </row>
    <row r="230" spans="1:20" s="15" customFormat="1" ht="79.2">
      <c r="A230" s="106"/>
      <c r="B230" s="52" t="s">
        <v>306</v>
      </c>
      <c r="C230" s="110"/>
      <c r="D230" s="23" t="s">
        <v>252</v>
      </c>
      <c r="E230" s="24" t="s">
        <v>271</v>
      </c>
      <c r="F230" s="24" t="s">
        <v>307</v>
      </c>
      <c r="G230" s="24" t="s">
        <v>63</v>
      </c>
      <c r="H230" s="25">
        <v>192.48600999999999</v>
      </c>
      <c r="I230" s="25">
        <v>192.48600999999999</v>
      </c>
      <c r="J230" s="25"/>
      <c r="K230" s="25"/>
      <c r="L230" s="25"/>
      <c r="M230" s="25"/>
      <c r="N230" s="25"/>
      <c r="O230" s="25"/>
      <c r="P230" s="25"/>
      <c r="Q230" s="25"/>
      <c r="R230" s="25"/>
      <c r="S230" s="25"/>
      <c r="T230" s="73"/>
    </row>
    <row r="231" spans="1:20" s="15" customFormat="1" ht="52.8">
      <c r="A231" s="106"/>
      <c r="B231" s="52" t="s">
        <v>308</v>
      </c>
      <c r="C231" s="52" t="s">
        <v>58</v>
      </c>
      <c r="D231" s="23" t="s">
        <v>59</v>
      </c>
      <c r="E231" s="24" t="s">
        <v>64</v>
      </c>
      <c r="F231" s="24" t="s">
        <v>309</v>
      </c>
      <c r="G231" s="24" t="s">
        <v>63</v>
      </c>
      <c r="H231" s="25">
        <v>242.90899999999999</v>
      </c>
      <c r="I231" s="25">
        <v>94.004999999999995</v>
      </c>
      <c r="J231" s="25"/>
      <c r="K231" s="25"/>
      <c r="L231" s="25"/>
      <c r="M231" s="25"/>
      <c r="N231" s="25"/>
      <c r="O231" s="25"/>
      <c r="P231" s="25"/>
      <c r="Q231" s="25"/>
      <c r="R231" s="25"/>
      <c r="S231" s="25"/>
      <c r="T231" s="77"/>
    </row>
    <row r="232" spans="1:20" s="15" customFormat="1" ht="26.4">
      <c r="A232" s="106" t="s">
        <v>310</v>
      </c>
      <c r="B232" s="52"/>
      <c r="C232" s="52" t="s">
        <v>57</v>
      </c>
      <c r="D232" s="23"/>
      <c r="E232" s="24"/>
      <c r="F232" s="24"/>
      <c r="G232" s="24"/>
      <c r="H232" s="25">
        <f>H233</f>
        <v>37097.026840000006</v>
      </c>
      <c r="I232" s="25">
        <f>I233</f>
        <v>37097.025860000002</v>
      </c>
      <c r="J232" s="25"/>
      <c r="K232" s="25"/>
      <c r="L232" s="25"/>
      <c r="M232" s="25"/>
      <c r="N232" s="25"/>
      <c r="O232" s="25"/>
      <c r="P232" s="25"/>
      <c r="Q232" s="25"/>
      <c r="R232" s="25"/>
      <c r="S232" s="25"/>
      <c r="T232" s="73"/>
    </row>
    <row r="233" spans="1:20" s="15" customFormat="1" ht="63.75" customHeight="1">
      <c r="A233" s="106"/>
      <c r="B233" s="52"/>
      <c r="C233" s="109" t="s">
        <v>311</v>
      </c>
      <c r="D233" s="23" t="s">
        <v>252</v>
      </c>
      <c r="E233" s="24"/>
      <c r="F233" s="24"/>
      <c r="G233" s="24"/>
      <c r="H233" s="25">
        <f>SUM(H234:H242)</f>
        <v>37097.026840000006</v>
      </c>
      <c r="I233" s="25">
        <f>SUM(I234:I242)</f>
        <v>37097.025860000002</v>
      </c>
      <c r="J233" s="25"/>
      <c r="K233" s="25"/>
      <c r="L233" s="25"/>
      <c r="M233" s="25"/>
      <c r="N233" s="25"/>
      <c r="O233" s="25"/>
      <c r="P233" s="25"/>
      <c r="Q233" s="25"/>
      <c r="R233" s="25"/>
      <c r="S233" s="25"/>
      <c r="T233" s="73"/>
    </row>
    <row r="234" spans="1:20" s="15" customFormat="1" ht="92.4">
      <c r="A234" s="106"/>
      <c r="B234" s="52" t="s">
        <v>312</v>
      </c>
      <c r="C234" s="110"/>
      <c r="D234" s="23" t="s">
        <v>252</v>
      </c>
      <c r="E234" s="24" t="s">
        <v>78</v>
      </c>
      <c r="F234" s="24" t="s">
        <v>313</v>
      </c>
      <c r="G234" s="24" t="s">
        <v>257</v>
      </c>
      <c r="H234" s="25">
        <v>16635.7</v>
      </c>
      <c r="I234" s="25">
        <v>16635.7</v>
      </c>
      <c r="J234" s="25"/>
      <c r="K234" s="25"/>
      <c r="L234" s="25"/>
      <c r="M234" s="25"/>
      <c r="N234" s="25"/>
      <c r="O234" s="25"/>
      <c r="P234" s="25"/>
      <c r="Q234" s="25"/>
      <c r="R234" s="25"/>
      <c r="S234" s="25"/>
      <c r="T234" s="73"/>
    </row>
    <row r="235" spans="1:20" s="15" customFormat="1" ht="105.6">
      <c r="A235" s="106"/>
      <c r="B235" s="52" t="s">
        <v>314</v>
      </c>
      <c r="C235" s="110"/>
      <c r="D235" s="23" t="s">
        <v>252</v>
      </c>
      <c r="E235" s="24" t="s">
        <v>78</v>
      </c>
      <c r="F235" s="24" t="s">
        <v>315</v>
      </c>
      <c r="G235" s="24" t="s">
        <v>257</v>
      </c>
      <c r="H235" s="25">
        <v>1409.1931999999999</v>
      </c>
      <c r="I235" s="25">
        <v>1409.1931999999999</v>
      </c>
      <c r="J235" s="25"/>
      <c r="K235" s="25"/>
      <c r="L235" s="25"/>
      <c r="M235" s="25"/>
      <c r="N235" s="25"/>
      <c r="O235" s="25"/>
      <c r="P235" s="25"/>
      <c r="Q235" s="25"/>
      <c r="R235" s="25"/>
      <c r="S235" s="25"/>
      <c r="T235" s="73"/>
    </row>
    <row r="236" spans="1:20" s="15" customFormat="1" ht="145.19999999999999">
      <c r="A236" s="106"/>
      <c r="B236" s="52" t="s">
        <v>316</v>
      </c>
      <c r="C236" s="110"/>
      <c r="D236" s="23" t="s">
        <v>252</v>
      </c>
      <c r="E236" s="24" t="s">
        <v>78</v>
      </c>
      <c r="F236" s="24" t="s">
        <v>317</v>
      </c>
      <c r="G236" s="24" t="s">
        <v>257</v>
      </c>
      <c r="H236" s="25">
        <v>355.90953000000002</v>
      </c>
      <c r="I236" s="25">
        <v>355.90953000000002</v>
      </c>
      <c r="J236" s="25"/>
      <c r="K236" s="25"/>
      <c r="L236" s="25"/>
      <c r="M236" s="25"/>
      <c r="N236" s="25"/>
      <c r="O236" s="25"/>
      <c r="P236" s="25"/>
      <c r="Q236" s="25"/>
      <c r="R236" s="25"/>
      <c r="S236" s="25"/>
      <c r="T236" s="73"/>
    </row>
    <row r="237" spans="1:20" s="15" customFormat="1" ht="211.2">
      <c r="A237" s="106"/>
      <c r="B237" s="52" t="s">
        <v>318</v>
      </c>
      <c r="C237" s="110"/>
      <c r="D237" s="23" t="s">
        <v>252</v>
      </c>
      <c r="E237" s="24" t="s">
        <v>78</v>
      </c>
      <c r="F237" s="24" t="s">
        <v>319</v>
      </c>
      <c r="G237" s="24" t="s">
        <v>257</v>
      </c>
      <c r="H237" s="25">
        <v>10.52023</v>
      </c>
      <c r="I237" s="25">
        <v>10.52023</v>
      </c>
      <c r="J237" s="25"/>
      <c r="K237" s="25"/>
      <c r="L237" s="25"/>
      <c r="M237" s="25"/>
      <c r="N237" s="25"/>
      <c r="O237" s="25"/>
      <c r="P237" s="25"/>
      <c r="Q237" s="25"/>
      <c r="R237" s="25"/>
      <c r="S237" s="25"/>
      <c r="T237" s="73"/>
    </row>
    <row r="238" spans="1:20" s="15" customFormat="1" ht="118.8">
      <c r="A238" s="106"/>
      <c r="B238" s="52" t="s">
        <v>320</v>
      </c>
      <c r="C238" s="110"/>
      <c r="D238" s="23" t="s">
        <v>252</v>
      </c>
      <c r="E238" s="24" t="s">
        <v>78</v>
      </c>
      <c r="F238" s="24" t="s">
        <v>321</v>
      </c>
      <c r="G238" s="24" t="s">
        <v>257</v>
      </c>
      <c r="H238" s="25">
        <v>85.387739999999994</v>
      </c>
      <c r="I238" s="25">
        <v>85.387739999999994</v>
      </c>
      <c r="J238" s="25"/>
      <c r="K238" s="25"/>
      <c r="L238" s="25"/>
      <c r="M238" s="25"/>
      <c r="N238" s="25"/>
      <c r="O238" s="25"/>
      <c r="P238" s="25"/>
      <c r="Q238" s="25"/>
      <c r="R238" s="25"/>
      <c r="S238" s="25"/>
      <c r="T238" s="73"/>
    </row>
    <row r="239" spans="1:20" s="15" customFormat="1" ht="171.6">
      <c r="A239" s="106"/>
      <c r="B239" s="52" t="s">
        <v>322</v>
      </c>
      <c r="C239" s="110"/>
      <c r="D239" s="23" t="s">
        <v>252</v>
      </c>
      <c r="E239" s="24" t="s">
        <v>78</v>
      </c>
      <c r="F239" s="24" t="s">
        <v>323</v>
      </c>
      <c r="G239" s="24" t="s">
        <v>257</v>
      </c>
      <c r="H239" s="25">
        <v>490.21800999999999</v>
      </c>
      <c r="I239" s="25">
        <v>490.21800999999999</v>
      </c>
      <c r="J239" s="25"/>
      <c r="K239" s="25"/>
      <c r="L239" s="25"/>
      <c r="M239" s="25"/>
      <c r="N239" s="25"/>
      <c r="O239" s="25"/>
      <c r="P239" s="25"/>
      <c r="Q239" s="25"/>
      <c r="R239" s="25"/>
      <c r="S239" s="25"/>
      <c r="T239" s="73"/>
    </row>
    <row r="240" spans="1:20" s="15" customFormat="1" ht="198">
      <c r="A240" s="106"/>
      <c r="B240" s="52" t="s">
        <v>324</v>
      </c>
      <c r="C240" s="110"/>
      <c r="D240" s="23" t="s">
        <v>252</v>
      </c>
      <c r="E240" s="24" t="s">
        <v>78</v>
      </c>
      <c r="F240" s="24" t="s">
        <v>325</v>
      </c>
      <c r="G240" s="24" t="s">
        <v>257</v>
      </c>
      <c r="H240" s="25">
        <v>1.0229999999999999</v>
      </c>
      <c r="I240" s="25">
        <v>1.0220199999999999</v>
      </c>
      <c r="J240" s="25"/>
      <c r="K240" s="25"/>
      <c r="L240" s="25"/>
      <c r="M240" s="25"/>
      <c r="N240" s="25"/>
      <c r="O240" s="25"/>
      <c r="P240" s="25"/>
      <c r="Q240" s="25"/>
      <c r="R240" s="25"/>
      <c r="S240" s="25"/>
      <c r="T240" s="77"/>
    </row>
    <row r="241" spans="1:20" s="15" customFormat="1" ht="196.5" customHeight="1">
      <c r="A241" s="106"/>
      <c r="B241" s="52" t="s">
        <v>326</v>
      </c>
      <c r="C241" s="110"/>
      <c r="D241" s="23" t="s">
        <v>252</v>
      </c>
      <c r="E241" s="24" t="s">
        <v>78</v>
      </c>
      <c r="F241" s="24" t="s">
        <v>327</v>
      </c>
      <c r="G241" s="24" t="s">
        <v>257</v>
      </c>
      <c r="H241" s="25">
        <v>18011.075130000001</v>
      </c>
      <c r="I241" s="25">
        <v>18011.075130000001</v>
      </c>
      <c r="J241" s="25"/>
      <c r="K241" s="25"/>
      <c r="L241" s="25"/>
      <c r="M241" s="25"/>
      <c r="N241" s="25"/>
      <c r="O241" s="25"/>
      <c r="P241" s="25"/>
      <c r="Q241" s="25"/>
      <c r="R241" s="25"/>
      <c r="S241" s="25"/>
      <c r="T241" s="73"/>
    </row>
    <row r="242" spans="1:20" s="15" customFormat="1" ht="52.8">
      <c r="A242" s="106"/>
      <c r="B242" s="52" t="s">
        <v>328</v>
      </c>
      <c r="C242" s="110"/>
      <c r="D242" s="23" t="s">
        <v>252</v>
      </c>
      <c r="E242" s="24" t="s">
        <v>75</v>
      </c>
      <c r="F242" s="24" t="s">
        <v>329</v>
      </c>
      <c r="G242" s="24" t="s">
        <v>63</v>
      </c>
      <c r="H242" s="25">
        <v>98</v>
      </c>
      <c r="I242" s="25">
        <v>98</v>
      </c>
      <c r="J242" s="25"/>
      <c r="K242" s="25"/>
      <c r="L242" s="25"/>
      <c r="M242" s="25"/>
      <c r="N242" s="25"/>
      <c r="O242" s="25"/>
      <c r="P242" s="25"/>
      <c r="Q242" s="25"/>
      <c r="R242" s="25"/>
      <c r="S242" s="25"/>
      <c r="T242" s="73"/>
    </row>
    <row r="243" spans="1:20" s="15" customFormat="1" ht="26.4">
      <c r="A243" s="106" t="s">
        <v>330</v>
      </c>
      <c r="B243" s="52"/>
      <c r="C243" s="52" t="s">
        <v>57</v>
      </c>
      <c r="D243" s="23"/>
      <c r="E243" s="24"/>
      <c r="F243" s="24"/>
      <c r="G243" s="24"/>
      <c r="H243" s="25">
        <f>H244</f>
        <v>162517.19099999999</v>
      </c>
      <c r="I243" s="25">
        <f>I244</f>
        <v>159263.10004999998</v>
      </c>
      <c r="J243" s="25"/>
      <c r="K243" s="25"/>
      <c r="L243" s="25"/>
      <c r="M243" s="25"/>
      <c r="N243" s="25"/>
      <c r="O243" s="25"/>
      <c r="P243" s="25"/>
      <c r="Q243" s="25"/>
      <c r="R243" s="25"/>
      <c r="S243" s="25"/>
      <c r="T243" s="73"/>
    </row>
    <row r="244" spans="1:20" s="15" customFormat="1" ht="37.5" customHeight="1">
      <c r="A244" s="106"/>
      <c r="B244" s="52"/>
      <c r="C244" s="109" t="s">
        <v>254</v>
      </c>
      <c r="D244" s="23" t="s">
        <v>252</v>
      </c>
      <c r="E244" s="24"/>
      <c r="F244" s="24"/>
      <c r="G244" s="24"/>
      <c r="H244" s="25">
        <f>SUM(H245:H248)</f>
        <v>162517.19099999999</v>
      </c>
      <c r="I244" s="25">
        <f>SUM(I245:I248)</f>
        <v>159263.10004999998</v>
      </c>
      <c r="J244" s="25"/>
      <c r="K244" s="25"/>
      <c r="L244" s="25"/>
      <c r="M244" s="25"/>
      <c r="N244" s="25"/>
      <c r="O244" s="25"/>
      <c r="P244" s="25"/>
      <c r="Q244" s="25"/>
      <c r="R244" s="25"/>
      <c r="S244" s="25"/>
      <c r="T244" s="73"/>
    </row>
    <row r="245" spans="1:20" s="15" customFormat="1" ht="128.25" customHeight="1">
      <c r="A245" s="106"/>
      <c r="B245" s="52" t="s">
        <v>331</v>
      </c>
      <c r="C245" s="110"/>
      <c r="D245" s="23" t="s">
        <v>252</v>
      </c>
      <c r="E245" s="24" t="s">
        <v>78</v>
      </c>
      <c r="F245" s="24" t="s">
        <v>332</v>
      </c>
      <c r="G245" s="24" t="s">
        <v>257</v>
      </c>
      <c r="H245" s="25">
        <v>52998.6</v>
      </c>
      <c r="I245" s="25">
        <v>52733.462039999999</v>
      </c>
      <c r="J245" s="25"/>
      <c r="K245" s="25"/>
      <c r="L245" s="25"/>
      <c r="M245" s="25"/>
      <c r="N245" s="25"/>
      <c r="O245" s="25"/>
      <c r="P245" s="25"/>
      <c r="Q245" s="25"/>
      <c r="R245" s="25"/>
      <c r="S245" s="25"/>
      <c r="T245" s="77"/>
    </row>
    <row r="246" spans="1:20" s="15" customFormat="1" ht="334.5" customHeight="1">
      <c r="A246" s="106"/>
      <c r="B246" s="52" t="s">
        <v>333</v>
      </c>
      <c r="C246" s="110"/>
      <c r="D246" s="23" t="s">
        <v>252</v>
      </c>
      <c r="E246" s="24" t="s">
        <v>78</v>
      </c>
      <c r="F246" s="24" t="s">
        <v>334</v>
      </c>
      <c r="G246" s="24" t="s">
        <v>257</v>
      </c>
      <c r="H246" s="25">
        <v>36337</v>
      </c>
      <c r="I246" s="25">
        <v>36337</v>
      </c>
      <c r="J246" s="25"/>
      <c r="K246" s="25"/>
      <c r="L246" s="25"/>
      <c r="M246" s="25"/>
      <c r="N246" s="25"/>
      <c r="O246" s="25"/>
      <c r="P246" s="25"/>
      <c r="Q246" s="25"/>
      <c r="R246" s="25"/>
      <c r="S246" s="25"/>
      <c r="T246" s="73"/>
    </row>
    <row r="247" spans="1:20" s="15" customFormat="1" ht="41.25" customHeight="1">
      <c r="A247" s="106"/>
      <c r="B247" s="52" t="s">
        <v>335</v>
      </c>
      <c r="C247" s="110"/>
      <c r="D247" s="23" t="s">
        <v>252</v>
      </c>
      <c r="E247" s="24" t="s">
        <v>78</v>
      </c>
      <c r="F247" s="24" t="s">
        <v>336</v>
      </c>
      <c r="G247" s="24" t="s">
        <v>257</v>
      </c>
      <c r="H247" s="25">
        <v>37781.300000000003</v>
      </c>
      <c r="I247" s="25">
        <v>37776.270299999996</v>
      </c>
      <c r="J247" s="25"/>
      <c r="K247" s="25"/>
      <c r="L247" s="25"/>
      <c r="M247" s="25"/>
      <c r="N247" s="25"/>
      <c r="O247" s="25"/>
      <c r="P247" s="25"/>
      <c r="Q247" s="25"/>
      <c r="R247" s="25"/>
      <c r="S247" s="25"/>
      <c r="T247" s="77"/>
    </row>
    <row r="248" spans="1:20" s="15" customFormat="1" ht="38.25" customHeight="1">
      <c r="A248" s="106"/>
      <c r="B248" s="52" t="s">
        <v>335</v>
      </c>
      <c r="C248" s="111"/>
      <c r="D248" s="23" t="s">
        <v>252</v>
      </c>
      <c r="E248" s="24" t="s">
        <v>78</v>
      </c>
      <c r="F248" s="24" t="s">
        <v>337</v>
      </c>
      <c r="G248" s="24" t="s">
        <v>257</v>
      </c>
      <c r="H248" s="25">
        <v>35400.290999999997</v>
      </c>
      <c r="I248" s="25">
        <v>32416.367709999999</v>
      </c>
      <c r="J248" s="25"/>
      <c r="K248" s="25"/>
      <c r="L248" s="25"/>
      <c r="M248" s="25"/>
      <c r="N248" s="25"/>
      <c r="O248" s="25"/>
      <c r="P248" s="25"/>
      <c r="Q248" s="25"/>
      <c r="R248" s="25"/>
      <c r="S248" s="25"/>
      <c r="T248" s="77"/>
    </row>
    <row r="249" spans="1:20" s="15" customFormat="1" ht="26.4">
      <c r="A249" s="106" t="s">
        <v>338</v>
      </c>
      <c r="B249" s="106" t="s">
        <v>339</v>
      </c>
      <c r="C249" s="52" t="s">
        <v>57</v>
      </c>
      <c r="D249" s="23"/>
      <c r="E249" s="24"/>
      <c r="F249" s="24"/>
      <c r="G249" s="24"/>
      <c r="H249" s="25">
        <f>H250</f>
        <v>51006.091769999999</v>
      </c>
      <c r="I249" s="25">
        <f>I250</f>
        <v>51006.091769999999</v>
      </c>
      <c r="J249" s="25"/>
      <c r="K249" s="25"/>
      <c r="L249" s="25"/>
      <c r="M249" s="25"/>
      <c r="N249" s="25"/>
      <c r="O249" s="25"/>
      <c r="P249" s="25"/>
      <c r="Q249" s="25"/>
      <c r="R249" s="25"/>
      <c r="S249" s="25"/>
      <c r="T249" s="73"/>
    </row>
    <row r="250" spans="1:20" s="15" customFormat="1" ht="66">
      <c r="A250" s="106"/>
      <c r="B250" s="106"/>
      <c r="C250" s="52" t="s">
        <v>254</v>
      </c>
      <c r="D250" s="23" t="s">
        <v>252</v>
      </c>
      <c r="E250" s="24" t="s">
        <v>340</v>
      </c>
      <c r="F250" s="24" t="s">
        <v>341</v>
      </c>
      <c r="G250" s="24" t="s">
        <v>63</v>
      </c>
      <c r="H250" s="25">
        <v>51006.091769999999</v>
      </c>
      <c r="I250" s="25">
        <v>51006.091769999999</v>
      </c>
      <c r="J250" s="25"/>
      <c r="K250" s="25"/>
      <c r="L250" s="25"/>
      <c r="M250" s="25"/>
      <c r="N250" s="25"/>
      <c r="O250" s="25"/>
      <c r="P250" s="25"/>
      <c r="Q250" s="25"/>
      <c r="R250" s="25"/>
      <c r="S250" s="25"/>
      <c r="T250" s="73"/>
    </row>
    <row r="251" spans="1:20" s="15" customFormat="1" ht="26.4">
      <c r="A251" s="106" t="s">
        <v>342</v>
      </c>
      <c r="B251" s="106" t="s">
        <v>343</v>
      </c>
      <c r="C251" s="52" t="s">
        <v>57</v>
      </c>
      <c r="D251" s="23"/>
      <c r="E251" s="24"/>
      <c r="F251" s="24"/>
      <c r="G251" s="24"/>
      <c r="H251" s="25">
        <f>H252+H253</f>
        <v>12230.099999999999</v>
      </c>
      <c r="I251" s="25">
        <f>I252+I253</f>
        <v>12230.099999999999</v>
      </c>
      <c r="J251" s="25"/>
      <c r="K251" s="25"/>
      <c r="L251" s="25"/>
      <c r="M251" s="25"/>
      <c r="N251" s="25"/>
      <c r="O251" s="25"/>
      <c r="P251" s="25"/>
      <c r="Q251" s="25"/>
      <c r="R251" s="25"/>
      <c r="S251" s="25"/>
      <c r="T251" s="73"/>
    </row>
    <row r="252" spans="1:20" s="15" customFormat="1" ht="34.5" customHeight="1">
      <c r="A252" s="106"/>
      <c r="B252" s="106"/>
      <c r="C252" s="109" t="s">
        <v>254</v>
      </c>
      <c r="D252" s="23" t="s">
        <v>252</v>
      </c>
      <c r="E252" s="24" t="s">
        <v>271</v>
      </c>
      <c r="F252" s="24" t="s">
        <v>344</v>
      </c>
      <c r="G252" s="24" t="s">
        <v>140</v>
      </c>
      <c r="H252" s="25">
        <v>10805.357969999999</v>
      </c>
      <c r="I252" s="25">
        <v>10805.357969999999</v>
      </c>
      <c r="J252" s="25"/>
      <c r="K252" s="25"/>
      <c r="L252" s="25"/>
      <c r="M252" s="25"/>
      <c r="N252" s="25"/>
      <c r="O252" s="25"/>
      <c r="P252" s="25"/>
      <c r="Q252" s="25"/>
      <c r="R252" s="25"/>
      <c r="S252" s="25"/>
      <c r="T252" s="73"/>
    </row>
    <row r="253" spans="1:20" s="15" customFormat="1" ht="34.5" customHeight="1">
      <c r="A253" s="106"/>
      <c r="B253" s="106"/>
      <c r="C253" s="111"/>
      <c r="D253" s="23" t="s">
        <v>252</v>
      </c>
      <c r="E253" s="24" t="s">
        <v>271</v>
      </c>
      <c r="F253" s="24" t="s">
        <v>344</v>
      </c>
      <c r="G253" s="24" t="s">
        <v>141</v>
      </c>
      <c r="H253" s="25">
        <v>1424.7420300000001</v>
      </c>
      <c r="I253" s="25">
        <v>1424.7420300000001</v>
      </c>
      <c r="J253" s="25"/>
      <c r="K253" s="25"/>
      <c r="L253" s="25"/>
      <c r="M253" s="25"/>
      <c r="N253" s="25"/>
      <c r="O253" s="25"/>
      <c r="P253" s="25"/>
      <c r="Q253" s="25"/>
      <c r="R253" s="25"/>
      <c r="S253" s="25"/>
      <c r="T253" s="73"/>
    </row>
    <row r="254" spans="1:20" s="67" customFormat="1" ht="25.5" customHeight="1">
      <c r="A254" s="148" t="s">
        <v>709</v>
      </c>
      <c r="B254" s="149"/>
      <c r="C254" s="63"/>
      <c r="D254" s="64"/>
      <c r="E254" s="65"/>
      <c r="F254" s="65"/>
      <c r="G254" s="65"/>
      <c r="H254" s="66"/>
      <c r="I254" s="66"/>
      <c r="J254" s="66"/>
      <c r="K254" s="66"/>
      <c r="L254" s="66"/>
      <c r="M254" s="66"/>
      <c r="N254" s="66"/>
      <c r="O254" s="66"/>
      <c r="P254" s="66"/>
      <c r="Q254" s="66"/>
      <c r="R254" s="66"/>
      <c r="S254" s="66"/>
      <c r="T254" s="74"/>
    </row>
    <row r="255" spans="1:20" s="15" customFormat="1" ht="26.4">
      <c r="A255" s="106" t="s">
        <v>635</v>
      </c>
      <c r="B255" s="11"/>
      <c r="C255" s="11" t="s">
        <v>57</v>
      </c>
      <c r="D255" s="23"/>
      <c r="E255" s="24"/>
      <c r="F255" s="24"/>
      <c r="G255" s="24"/>
      <c r="H255" s="25"/>
      <c r="I255" s="25"/>
      <c r="J255" s="25">
        <f t="shared" ref="J255:O255" si="97">J256</f>
        <v>9514.8889999999992</v>
      </c>
      <c r="K255" s="25">
        <f t="shared" si="97"/>
        <v>9514.8889999999992</v>
      </c>
      <c r="L255" s="25">
        <f t="shared" si="97"/>
        <v>24238.971000000001</v>
      </c>
      <c r="M255" s="25">
        <f t="shared" si="97"/>
        <v>24238.971000000001</v>
      </c>
      <c r="N255" s="25">
        <f t="shared" si="97"/>
        <v>36722.465000000004</v>
      </c>
      <c r="O255" s="25">
        <f t="shared" si="97"/>
        <v>36722.465000000004</v>
      </c>
      <c r="P255" s="25">
        <f>P256</f>
        <v>52851.554600000003</v>
      </c>
      <c r="Q255" s="25">
        <f t="shared" ref="Q255:S255" si="98">Q256</f>
        <v>52851.554600000003</v>
      </c>
      <c r="R255" s="25">
        <f t="shared" si="98"/>
        <v>52602.5</v>
      </c>
      <c r="S255" s="25">
        <f t="shared" si="98"/>
        <v>52602.5</v>
      </c>
      <c r="T255" s="73"/>
    </row>
    <row r="256" spans="1:20" s="15" customFormat="1" ht="63.75" customHeight="1">
      <c r="A256" s="106"/>
      <c r="B256" s="11"/>
      <c r="C256" s="109" t="s">
        <v>254</v>
      </c>
      <c r="D256" s="23" t="s">
        <v>252</v>
      </c>
      <c r="E256" s="24"/>
      <c r="F256" s="24"/>
      <c r="G256" s="24"/>
      <c r="H256" s="25"/>
      <c r="I256" s="25"/>
      <c r="J256" s="25">
        <f t="shared" ref="J256:S256" si="99">SUM(J257:J258)</f>
        <v>9514.8889999999992</v>
      </c>
      <c r="K256" s="25">
        <f t="shared" si="99"/>
        <v>9514.8889999999992</v>
      </c>
      <c r="L256" s="25">
        <f t="shared" si="99"/>
        <v>24238.971000000001</v>
      </c>
      <c r="M256" s="25">
        <f t="shared" si="99"/>
        <v>24238.971000000001</v>
      </c>
      <c r="N256" s="25">
        <f t="shared" si="99"/>
        <v>36722.465000000004</v>
      </c>
      <c r="O256" s="25">
        <f t="shared" si="99"/>
        <v>36722.465000000004</v>
      </c>
      <c r="P256" s="25">
        <f t="shared" si="99"/>
        <v>52851.554600000003</v>
      </c>
      <c r="Q256" s="25">
        <f t="shared" si="99"/>
        <v>52851.554600000003</v>
      </c>
      <c r="R256" s="25">
        <f t="shared" si="99"/>
        <v>52602.5</v>
      </c>
      <c r="S256" s="25">
        <f t="shared" si="99"/>
        <v>52602.5</v>
      </c>
      <c r="T256" s="73"/>
    </row>
    <row r="257" spans="1:20" s="15" customFormat="1" ht="92.4">
      <c r="A257" s="106"/>
      <c r="B257" s="11" t="s">
        <v>339</v>
      </c>
      <c r="C257" s="110"/>
      <c r="D257" s="23" t="s">
        <v>252</v>
      </c>
      <c r="E257" s="24" t="s">
        <v>340</v>
      </c>
      <c r="F257" s="24" t="s">
        <v>638</v>
      </c>
      <c r="G257" s="24" t="s">
        <v>570</v>
      </c>
      <c r="H257" s="25"/>
      <c r="I257" s="25"/>
      <c r="J257" s="25">
        <v>9514.8889999999992</v>
      </c>
      <c r="K257" s="25">
        <v>9514.8889999999992</v>
      </c>
      <c r="L257" s="25">
        <v>24238.971000000001</v>
      </c>
      <c r="M257" s="25">
        <v>24238.971000000001</v>
      </c>
      <c r="N257" s="25">
        <v>36673.849000000002</v>
      </c>
      <c r="O257" s="25">
        <v>36673.849000000002</v>
      </c>
      <c r="P257" s="25">
        <v>52802.938600000001</v>
      </c>
      <c r="Q257" s="25">
        <v>52802.938600000001</v>
      </c>
      <c r="R257" s="25">
        <v>52602.5</v>
      </c>
      <c r="S257" s="25">
        <v>52602.5</v>
      </c>
      <c r="T257" s="77"/>
    </row>
    <row r="258" spans="1:20" s="15" customFormat="1" ht="118.8">
      <c r="A258" s="106"/>
      <c r="B258" s="11" t="s">
        <v>320</v>
      </c>
      <c r="C258" s="110"/>
      <c r="D258" s="23" t="s">
        <v>252</v>
      </c>
      <c r="E258" s="24" t="s">
        <v>78</v>
      </c>
      <c r="F258" s="24" t="s">
        <v>639</v>
      </c>
      <c r="G258" s="24" t="s">
        <v>573</v>
      </c>
      <c r="H258" s="25"/>
      <c r="I258" s="25"/>
      <c r="J258" s="25"/>
      <c r="K258" s="25"/>
      <c r="L258" s="25"/>
      <c r="M258" s="25"/>
      <c r="N258" s="25">
        <v>48.616</v>
      </c>
      <c r="O258" s="25">
        <v>48.616</v>
      </c>
      <c r="P258" s="25">
        <v>48.616</v>
      </c>
      <c r="Q258" s="25">
        <v>48.616</v>
      </c>
      <c r="R258" s="25"/>
      <c r="S258" s="25"/>
      <c r="T258" s="77"/>
    </row>
    <row r="259" spans="1:20" s="15" customFormat="1" ht="26.4">
      <c r="A259" s="106" t="s">
        <v>636</v>
      </c>
      <c r="B259" s="11"/>
      <c r="C259" s="11" t="s">
        <v>57</v>
      </c>
      <c r="D259" s="23"/>
      <c r="E259" s="24"/>
      <c r="F259" s="24"/>
      <c r="G259" s="24"/>
      <c r="H259" s="25"/>
      <c r="I259" s="25"/>
      <c r="J259" s="25">
        <f>J260</f>
        <v>1937.2</v>
      </c>
      <c r="K259" s="25">
        <f t="shared" ref="K259:O259" si="100">K260</f>
        <v>1937.2</v>
      </c>
      <c r="L259" s="25">
        <f t="shared" si="100"/>
        <v>5212.7406200000005</v>
      </c>
      <c r="M259" s="25">
        <f t="shared" si="100"/>
        <v>5168.3306499999999</v>
      </c>
      <c r="N259" s="25">
        <f t="shared" si="100"/>
        <v>7844.3153000000002</v>
      </c>
      <c r="O259" s="25">
        <f t="shared" si="100"/>
        <v>7701.1471000000001</v>
      </c>
      <c r="P259" s="25">
        <f>P260</f>
        <v>10389.5083</v>
      </c>
      <c r="Q259" s="25">
        <f>Q260</f>
        <v>10389.5083</v>
      </c>
      <c r="R259" s="25">
        <f t="shared" ref="R259:S259" si="101">R260</f>
        <v>10550.1</v>
      </c>
      <c r="S259" s="25">
        <f t="shared" si="101"/>
        <v>10550.1</v>
      </c>
      <c r="T259" s="73"/>
    </row>
    <row r="260" spans="1:20" s="15" customFormat="1" ht="63.75" customHeight="1">
      <c r="A260" s="106"/>
      <c r="B260" s="11"/>
      <c r="C260" s="109" t="s">
        <v>311</v>
      </c>
      <c r="D260" s="23" t="s">
        <v>252</v>
      </c>
      <c r="E260" s="24"/>
      <c r="F260" s="24"/>
      <c r="G260" s="24"/>
      <c r="H260" s="25"/>
      <c r="I260" s="25"/>
      <c r="J260" s="25">
        <f t="shared" ref="J260:Q260" si="102">SUM(J261:J263)</f>
        <v>1937.2</v>
      </c>
      <c r="K260" s="25">
        <f t="shared" si="102"/>
        <v>1937.2</v>
      </c>
      <c r="L260" s="25">
        <f t="shared" si="102"/>
        <v>5212.7406200000005</v>
      </c>
      <c r="M260" s="25">
        <f t="shared" si="102"/>
        <v>5168.3306499999999</v>
      </c>
      <c r="N260" s="25">
        <f t="shared" si="102"/>
        <v>7844.3153000000002</v>
      </c>
      <c r="O260" s="25">
        <f t="shared" si="102"/>
        <v>7701.1471000000001</v>
      </c>
      <c r="P260" s="25">
        <f t="shared" si="102"/>
        <v>10389.5083</v>
      </c>
      <c r="Q260" s="25">
        <f t="shared" si="102"/>
        <v>10389.5083</v>
      </c>
      <c r="R260" s="25">
        <v>10550.1</v>
      </c>
      <c r="S260" s="25">
        <v>10550.1</v>
      </c>
      <c r="T260" s="73"/>
    </row>
    <row r="261" spans="1:20" s="15" customFormat="1" ht="42.75" customHeight="1">
      <c r="A261" s="106"/>
      <c r="B261" s="109" t="s">
        <v>343</v>
      </c>
      <c r="C261" s="110"/>
      <c r="D261" s="23" t="s">
        <v>252</v>
      </c>
      <c r="E261" s="24" t="s">
        <v>271</v>
      </c>
      <c r="F261" s="24" t="s">
        <v>640</v>
      </c>
      <c r="G261" s="24" t="s">
        <v>594</v>
      </c>
      <c r="H261" s="25"/>
      <c r="I261" s="25"/>
      <c r="J261" s="25">
        <f>1784.03049+17.09</f>
        <v>1801.12049</v>
      </c>
      <c r="K261" s="25">
        <f>1784.03049+17.09</f>
        <v>1801.12049</v>
      </c>
      <c r="L261" s="25">
        <f>4615.98059+27.48553</f>
        <v>4643.46612</v>
      </c>
      <c r="M261" s="25">
        <f>4615.98059+27.48553</f>
        <v>4643.46612</v>
      </c>
      <c r="N261" s="25">
        <f>6990.87125+39.30053</f>
        <v>7030.1717800000006</v>
      </c>
      <c r="O261" s="25">
        <f>6990.87125+39.30053</f>
        <v>7030.1717800000006</v>
      </c>
      <c r="P261" s="25">
        <f>9188.1583+49.84483</f>
        <v>9238.0031299999991</v>
      </c>
      <c r="Q261" s="25">
        <f>9188.1583+49.84483</f>
        <v>9238.0031299999991</v>
      </c>
      <c r="R261" s="25"/>
      <c r="S261" s="25"/>
      <c r="T261" s="73"/>
    </row>
    <row r="262" spans="1:20" s="15" customFormat="1" ht="42.75" customHeight="1">
      <c r="A262" s="106"/>
      <c r="B262" s="110"/>
      <c r="C262" s="110"/>
      <c r="D262" s="23" t="s">
        <v>252</v>
      </c>
      <c r="E262" s="24" t="s">
        <v>271</v>
      </c>
      <c r="F262" s="24" t="s">
        <v>640</v>
      </c>
      <c r="G262" s="24" t="s">
        <v>584</v>
      </c>
      <c r="H262" s="25"/>
      <c r="I262" s="25"/>
      <c r="J262" s="25">
        <f>127.55426+8.52525</f>
        <v>136.07951</v>
      </c>
      <c r="K262" s="25">
        <v>136.07951</v>
      </c>
      <c r="L262" s="25">
        <f>507.81408+61.46042</f>
        <v>569.27449999999999</v>
      </c>
      <c r="M262" s="25">
        <v>524.86452999999995</v>
      </c>
      <c r="N262" s="25">
        <f>643.89957+170.24395</f>
        <v>814.14352000000008</v>
      </c>
      <c r="O262" s="25">
        <v>670.97532000000001</v>
      </c>
      <c r="P262" s="25">
        <v>1115.60383</v>
      </c>
      <c r="Q262" s="25">
        <v>1115.60383</v>
      </c>
      <c r="R262" s="25"/>
      <c r="S262" s="25"/>
      <c r="T262" s="73"/>
    </row>
    <row r="263" spans="1:20" s="15" customFormat="1" ht="42.75" customHeight="1">
      <c r="A263" s="106"/>
      <c r="B263" s="111"/>
      <c r="C263" s="110"/>
      <c r="D263" s="23" t="s">
        <v>252</v>
      </c>
      <c r="E263" s="24" t="s">
        <v>271</v>
      </c>
      <c r="F263" s="24" t="s">
        <v>640</v>
      </c>
      <c r="G263" s="24" t="s">
        <v>641</v>
      </c>
      <c r="H263" s="57"/>
      <c r="I263" s="57"/>
      <c r="J263" s="25"/>
      <c r="K263" s="25"/>
      <c r="L263" s="25"/>
      <c r="M263" s="25"/>
      <c r="N263" s="25"/>
      <c r="O263" s="25"/>
      <c r="P263" s="25">
        <f>34.10134+1.8</f>
        <v>35.901339999999998</v>
      </c>
      <c r="Q263" s="25">
        <f>34.10134+1.8</f>
        <v>35.901339999999998</v>
      </c>
      <c r="R263" s="25"/>
      <c r="S263" s="25"/>
      <c r="T263" s="73"/>
    </row>
    <row r="264" spans="1:20" s="15" customFormat="1" ht="12.75" customHeight="1">
      <c r="A264" s="109" t="s">
        <v>637</v>
      </c>
      <c r="B264" s="11"/>
      <c r="C264" s="11" t="s">
        <v>57</v>
      </c>
      <c r="D264" s="23"/>
      <c r="E264" s="24"/>
      <c r="F264" s="24"/>
      <c r="G264" s="24"/>
      <c r="H264" s="25"/>
      <c r="I264" s="25"/>
      <c r="J264" s="25">
        <f t="shared" ref="J264:O264" si="103">J265+J274+J275</f>
        <v>93.559340000000006</v>
      </c>
      <c r="K264" s="25">
        <f t="shared" si="103"/>
        <v>93.559340000000006</v>
      </c>
      <c r="L264" s="25">
        <f t="shared" si="103"/>
        <v>426.21792000000005</v>
      </c>
      <c r="M264" s="25">
        <f t="shared" si="103"/>
        <v>408.47392000000002</v>
      </c>
      <c r="N264" s="25">
        <f t="shared" si="103"/>
        <v>2099.42416</v>
      </c>
      <c r="O264" s="25">
        <f t="shared" si="103"/>
        <v>1990.0660999999998</v>
      </c>
      <c r="P264" s="25">
        <f>P265+P274+P275</f>
        <v>3452.6267899999993</v>
      </c>
      <c r="Q264" s="25">
        <f t="shared" ref="Q264:S264" si="104">Q265+Q274+Q275</f>
        <v>3317.31585</v>
      </c>
      <c r="R264" s="25">
        <f>R265+R274+R275</f>
        <v>1224.8</v>
      </c>
      <c r="S264" s="25">
        <f t="shared" si="104"/>
        <v>815.9</v>
      </c>
      <c r="T264" s="73"/>
    </row>
    <row r="265" spans="1:20" s="15" customFormat="1" ht="37.5" customHeight="1">
      <c r="A265" s="110"/>
      <c r="B265" s="11"/>
      <c r="C265" s="109" t="s">
        <v>254</v>
      </c>
      <c r="D265" s="23" t="s">
        <v>252</v>
      </c>
      <c r="E265" s="24"/>
      <c r="F265" s="24"/>
      <c r="G265" s="24"/>
      <c r="H265" s="25"/>
      <c r="I265" s="25"/>
      <c r="J265" s="25">
        <f t="shared" ref="J265:O265" si="105">SUM(J266:J273)</f>
        <v>93.559340000000006</v>
      </c>
      <c r="K265" s="25">
        <f t="shared" si="105"/>
        <v>93.559340000000006</v>
      </c>
      <c r="L265" s="25">
        <f t="shared" si="105"/>
        <v>259.56992000000002</v>
      </c>
      <c r="M265" s="25">
        <f t="shared" si="105"/>
        <v>259.56992000000002</v>
      </c>
      <c r="N265" s="25">
        <f t="shared" si="105"/>
        <v>1932.7761600000001</v>
      </c>
      <c r="O265" s="25">
        <f t="shared" si="105"/>
        <v>1841.1620999999998</v>
      </c>
      <c r="P265" s="25">
        <f>SUM(P266:P273)</f>
        <v>2236.0267899999994</v>
      </c>
      <c r="Q265" s="25">
        <f t="shared" ref="Q265:S265" si="106">SUM(Q266:Q273)</f>
        <v>2143.9868499999998</v>
      </c>
      <c r="R265" s="25">
        <f t="shared" si="106"/>
        <v>1032.7</v>
      </c>
      <c r="S265" s="25">
        <f t="shared" si="106"/>
        <v>815.9</v>
      </c>
      <c r="T265" s="73"/>
    </row>
    <row r="266" spans="1:20" s="15" customFormat="1" ht="105" customHeight="1">
      <c r="A266" s="110"/>
      <c r="B266" s="11" t="s">
        <v>191</v>
      </c>
      <c r="C266" s="110"/>
      <c r="D266" s="23" t="s">
        <v>252</v>
      </c>
      <c r="E266" s="24" t="s">
        <v>271</v>
      </c>
      <c r="F266" s="24" t="s">
        <v>648</v>
      </c>
      <c r="G266" s="24" t="s">
        <v>573</v>
      </c>
      <c r="H266" s="57"/>
      <c r="I266" s="25"/>
      <c r="J266" s="25"/>
      <c r="K266" s="25"/>
      <c r="L266" s="25"/>
      <c r="M266" s="25"/>
      <c r="N266" s="25">
        <v>1378</v>
      </c>
      <c r="O266" s="25">
        <v>1286.3859399999999</v>
      </c>
      <c r="P266" s="25">
        <v>1378</v>
      </c>
      <c r="Q266" s="25">
        <v>1286.3859399999999</v>
      </c>
      <c r="R266" s="25"/>
      <c r="S266" s="25"/>
      <c r="T266" s="77" t="s">
        <v>723</v>
      </c>
    </row>
    <row r="267" spans="1:20" s="15" customFormat="1" ht="32.25" customHeight="1">
      <c r="A267" s="110"/>
      <c r="B267" s="11" t="s">
        <v>287</v>
      </c>
      <c r="C267" s="110"/>
      <c r="D267" s="23" t="s">
        <v>252</v>
      </c>
      <c r="E267" s="24" t="s">
        <v>288</v>
      </c>
      <c r="F267" s="24" t="s">
        <v>649</v>
      </c>
      <c r="G267" s="24" t="s">
        <v>650</v>
      </c>
      <c r="H267" s="25"/>
      <c r="I267" s="25"/>
      <c r="J267" s="25">
        <v>88.559340000000006</v>
      </c>
      <c r="K267" s="25">
        <v>88.559340000000006</v>
      </c>
      <c r="L267" s="25">
        <v>160.71612999999999</v>
      </c>
      <c r="M267" s="25">
        <v>160.71612999999999</v>
      </c>
      <c r="N267" s="25">
        <v>262.90438999999998</v>
      </c>
      <c r="O267" s="25">
        <v>262.90438999999998</v>
      </c>
      <c r="P267" s="25">
        <v>359.48989999999998</v>
      </c>
      <c r="Q267" s="25">
        <v>359.48989999999998</v>
      </c>
      <c r="R267" s="25">
        <v>500</v>
      </c>
      <c r="S267" s="25">
        <v>500</v>
      </c>
      <c r="T267" s="73"/>
    </row>
    <row r="268" spans="1:20" s="15" customFormat="1" ht="53.25" customHeight="1">
      <c r="A268" s="110"/>
      <c r="B268" s="11" t="s">
        <v>328</v>
      </c>
      <c r="C268" s="110"/>
      <c r="D268" s="23" t="s">
        <v>252</v>
      </c>
      <c r="E268" s="24" t="s">
        <v>75</v>
      </c>
      <c r="F268" s="24" t="s">
        <v>651</v>
      </c>
      <c r="G268" s="24" t="s">
        <v>573</v>
      </c>
      <c r="H268" s="25"/>
      <c r="I268" s="25"/>
      <c r="J268" s="25"/>
      <c r="K268" s="25"/>
      <c r="L268" s="25"/>
      <c r="M268" s="25"/>
      <c r="N268" s="25">
        <v>120</v>
      </c>
      <c r="O268" s="25">
        <v>120</v>
      </c>
      <c r="P268" s="25">
        <v>120</v>
      </c>
      <c r="Q268" s="25">
        <v>120</v>
      </c>
      <c r="R268" s="25">
        <v>120</v>
      </c>
      <c r="S268" s="25">
        <v>120</v>
      </c>
      <c r="T268" s="77"/>
    </row>
    <row r="269" spans="1:20" s="15" customFormat="1" ht="56.25" customHeight="1">
      <c r="A269" s="110"/>
      <c r="B269" s="48" t="s">
        <v>654</v>
      </c>
      <c r="C269" s="110"/>
      <c r="D269" s="23" t="s">
        <v>252</v>
      </c>
      <c r="E269" s="24" t="s">
        <v>271</v>
      </c>
      <c r="F269" s="24" t="s">
        <v>653</v>
      </c>
      <c r="G269" s="24" t="s">
        <v>573</v>
      </c>
      <c r="H269" s="57"/>
      <c r="I269" s="25"/>
      <c r="J269" s="25"/>
      <c r="K269" s="25"/>
      <c r="L269" s="25">
        <v>88.853790000000004</v>
      </c>
      <c r="M269" s="25">
        <v>88.853790000000004</v>
      </c>
      <c r="N269" s="25">
        <v>139.65378999999999</v>
      </c>
      <c r="O269" s="25">
        <v>139.65378999999999</v>
      </c>
      <c r="P269" s="25">
        <v>270.15379000000001</v>
      </c>
      <c r="Q269" s="25">
        <v>269.72879</v>
      </c>
      <c r="R269" s="25">
        <v>175.9</v>
      </c>
      <c r="S269" s="25">
        <v>175.9</v>
      </c>
      <c r="T269" s="81" t="s">
        <v>755</v>
      </c>
    </row>
    <row r="270" spans="1:20" s="15" customFormat="1" ht="41.25" customHeight="1">
      <c r="A270" s="110"/>
      <c r="B270" s="48" t="s">
        <v>652</v>
      </c>
      <c r="C270" s="110"/>
      <c r="D270" s="23" t="s">
        <v>252</v>
      </c>
      <c r="E270" s="24" t="s">
        <v>271</v>
      </c>
      <c r="F270" s="24" t="s">
        <v>655</v>
      </c>
      <c r="G270" s="24" t="s">
        <v>301</v>
      </c>
      <c r="H270" s="25"/>
      <c r="I270" s="25"/>
      <c r="J270" s="25">
        <v>5</v>
      </c>
      <c r="K270" s="25">
        <v>5</v>
      </c>
      <c r="L270" s="25">
        <v>10</v>
      </c>
      <c r="M270" s="25">
        <v>10</v>
      </c>
      <c r="N270" s="25">
        <v>15</v>
      </c>
      <c r="O270" s="25">
        <v>15</v>
      </c>
      <c r="P270" s="25">
        <v>20</v>
      </c>
      <c r="Q270" s="25">
        <v>20</v>
      </c>
      <c r="R270" s="25">
        <v>20</v>
      </c>
      <c r="S270" s="25">
        <v>20</v>
      </c>
      <c r="T270" s="77"/>
    </row>
    <row r="271" spans="1:20" s="15" customFormat="1" ht="121.5" customHeight="1">
      <c r="A271" s="110"/>
      <c r="B271" s="48" t="s">
        <v>585</v>
      </c>
      <c r="C271" s="110"/>
      <c r="D271" s="23" t="s">
        <v>252</v>
      </c>
      <c r="E271" s="24" t="s">
        <v>271</v>
      </c>
      <c r="F271" s="24" t="s">
        <v>656</v>
      </c>
      <c r="G271" s="24" t="s">
        <v>584</v>
      </c>
      <c r="H271" s="25"/>
      <c r="I271" s="25"/>
      <c r="J271" s="25"/>
      <c r="K271" s="25"/>
      <c r="L271" s="25"/>
      <c r="M271" s="25"/>
      <c r="N271" s="25">
        <v>2.8828800000000001</v>
      </c>
      <c r="O271" s="25">
        <v>2.8828800000000001</v>
      </c>
      <c r="P271" s="25">
        <v>4.048</v>
      </c>
      <c r="Q271" s="25">
        <v>4.0471199999999996</v>
      </c>
      <c r="R271" s="25"/>
      <c r="S271" s="25"/>
      <c r="T271" s="77"/>
    </row>
    <row r="272" spans="1:20" s="15" customFormat="1" ht="57" customHeight="1">
      <c r="A272" s="110"/>
      <c r="B272" s="48" t="s">
        <v>646</v>
      </c>
      <c r="C272" s="110"/>
      <c r="D272" s="23" t="s">
        <v>252</v>
      </c>
      <c r="E272" s="24" t="s">
        <v>271</v>
      </c>
      <c r="F272" s="24" t="s">
        <v>643</v>
      </c>
      <c r="G272" s="24" t="s">
        <v>573</v>
      </c>
      <c r="H272" s="25"/>
      <c r="I272" s="25"/>
      <c r="J272" s="25"/>
      <c r="K272" s="25"/>
      <c r="L272" s="25"/>
      <c r="M272" s="25"/>
      <c r="N272" s="25"/>
      <c r="O272" s="25"/>
      <c r="P272" s="25">
        <v>70</v>
      </c>
      <c r="Q272" s="25">
        <v>70</v>
      </c>
      <c r="R272" s="25">
        <v>216.8</v>
      </c>
      <c r="S272" s="25"/>
      <c r="T272" s="77"/>
    </row>
    <row r="273" spans="1:20" s="15" customFormat="1" ht="109.5" customHeight="1">
      <c r="A273" s="110"/>
      <c r="B273" s="11" t="s">
        <v>658</v>
      </c>
      <c r="C273" s="111"/>
      <c r="D273" s="23" t="s">
        <v>252</v>
      </c>
      <c r="E273" s="24" t="s">
        <v>271</v>
      </c>
      <c r="F273" s="24" t="s">
        <v>657</v>
      </c>
      <c r="G273" s="24" t="s">
        <v>573</v>
      </c>
      <c r="H273" s="25"/>
      <c r="I273" s="25"/>
      <c r="J273" s="25"/>
      <c r="K273" s="25"/>
      <c r="L273" s="25"/>
      <c r="M273" s="25"/>
      <c r="N273" s="25">
        <v>14.335100000000001</v>
      </c>
      <c r="O273" s="25">
        <v>14.335100000000001</v>
      </c>
      <c r="P273" s="25">
        <v>14.335100000000001</v>
      </c>
      <c r="Q273" s="25">
        <v>14.335100000000001</v>
      </c>
      <c r="R273" s="25"/>
      <c r="S273" s="25"/>
      <c r="T273" s="77"/>
    </row>
    <row r="274" spans="1:20" s="15" customFormat="1" ht="38.25" customHeight="1">
      <c r="A274" s="110"/>
      <c r="B274" s="48" t="s">
        <v>308</v>
      </c>
      <c r="C274" s="49" t="s">
        <v>132</v>
      </c>
      <c r="D274" s="23" t="s">
        <v>59</v>
      </c>
      <c r="E274" s="24" t="s">
        <v>64</v>
      </c>
      <c r="F274" s="24" t="s">
        <v>647</v>
      </c>
      <c r="G274" s="24" t="s">
        <v>573</v>
      </c>
      <c r="H274" s="25"/>
      <c r="I274" s="25"/>
      <c r="J274" s="25"/>
      <c r="K274" s="25"/>
      <c r="L274" s="25">
        <v>166.648</v>
      </c>
      <c r="M274" s="25">
        <v>148.904</v>
      </c>
      <c r="N274" s="25">
        <v>166.648</v>
      </c>
      <c r="O274" s="25">
        <v>148.904</v>
      </c>
      <c r="P274" s="25">
        <v>192.1</v>
      </c>
      <c r="Q274" s="25">
        <v>148.904</v>
      </c>
      <c r="R274" s="25">
        <f>82.1+110</f>
        <v>192.1</v>
      </c>
      <c r="S274" s="25"/>
      <c r="T274" s="77"/>
    </row>
    <row r="275" spans="1:20" s="15" customFormat="1" ht="30.75" customHeight="1">
      <c r="A275" s="110"/>
      <c r="B275" s="48"/>
      <c r="C275" s="109" t="s">
        <v>457</v>
      </c>
      <c r="D275" s="58" t="s">
        <v>659</v>
      </c>
      <c r="E275" s="24"/>
      <c r="F275" s="24"/>
      <c r="G275" s="24"/>
      <c r="H275" s="25"/>
      <c r="I275" s="25"/>
      <c r="J275" s="25">
        <f t="shared" ref="J275:O275" si="107">SUM(J276:J279)</f>
        <v>0</v>
      </c>
      <c r="K275" s="25">
        <f t="shared" si="107"/>
        <v>0</v>
      </c>
      <c r="L275" s="25">
        <f t="shared" si="107"/>
        <v>0</v>
      </c>
      <c r="M275" s="25">
        <f t="shared" si="107"/>
        <v>0</v>
      </c>
      <c r="N275" s="25">
        <f t="shared" si="107"/>
        <v>0</v>
      </c>
      <c r="O275" s="25">
        <f t="shared" si="107"/>
        <v>0</v>
      </c>
      <c r="P275" s="25">
        <f>SUM(P276:P279)</f>
        <v>1024.5</v>
      </c>
      <c r="Q275" s="25">
        <f t="shared" ref="Q275:S275" si="108">SUM(Q276:Q279)</f>
        <v>1024.425</v>
      </c>
      <c r="R275" s="25">
        <f t="shared" si="108"/>
        <v>0</v>
      </c>
      <c r="S275" s="25">
        <f t="shared" si="108"/>
        <v>0</v>
      </c>
      <c r="T275" s="77"/>
    </row>
    <row r="276" spans="1:20" s="15" customFormat="1" ht="105" customHeight="1">
      <c r="A276" s="110"/>
      <c r="B276" s="48" t="s">
        <v>644</v>
      </c>
      <c r="C276" s="110"/>
      <c r="D276" s="23" t="s">
        <v>155</v>
      </c>
      <c r="E276" s="24" t="s">
        <v>271</v>
      </c>
      <c r="F276" s="24" t="s">
        <v>642</v>
      </c>
      <c r="G276" s="24" t="s">
        <v>573</v>
      </c>
      <c r="H276" s="25"/>
      <c r="I276" s="25"/>
      <c r="J276" s="25"/>
      <c r="K276" s="25"/>
      <c r="L276" s="25"/>
      <c r="M276" s="25"/>
      <c r="N276" s="25"/>
      <c r="O276" s="25"/>
      <c r="P276" s="25">
        <v>214.2</v>
      </c>
      <c r="Q276" s="25">
        <v>214.17750000000001</v>
      </c>
      <c r="R276" s="25"/>
      <c r="S276" s="25"/>
      <c r="T276" s="77"/>
    </row>
    <row r="277" spans="1:20" s="15" customFormat="1" ht="69.75" customHeight="1">
      <c r="A277" s="110"/>
      <c r="B277" s="48" t="s">
        <v>645</v>
      </c>
      <c r="C277" s="110"/>
      <c r="D277" s="58" t="s">
        <v>155</v>
      </c>
      <c r="E277" s="24" t="s">
        <v>271</v>
      </c>
      <c r="F277" s="58" t="s">
        <v>710</v>
      </c>
      <c r="G277" s="24" t="s">
        <v>573</v>
      </c>
      <c r="H277" s="25"/>
      <c r="I277" s="25"/>
      <c r="J277" s="25"/>
      <c r="K277" s="25"/>
      <c r="L277" s="25"/>
      <c r="M277" s="25"/>
      <c r="N277" s="25"/>
      <c r="O277" s="25"/>
      <c r="P277" s="25">
        <v>717.1</v>
      </c>
      <c r="Q277" s="25">
        <v>717.04750000000001</v>
      </c>
      <c r="R277" s="25"/>
      <c r="S277" s="25"/>
      <c r="T277" s="77"/>
    </row>
    <row r="278" spans="1:20" s="15" customFormat="1" ht="30.75" customHeight="1">
      <c r="A278" s="110"/>
      <c r="B278" s="109" t="s">
        <v>646</v>
      </c>
      <c r="C278" s="110"/>
      <c r="D278" s="23" t="s">
        <v>155</v>
      </c>
      <c r="E278" s="24" t="s">
        <v>64</v>
      </c>
      <c r="F278" s="24" t="s">
        <v>643</v>
      </c>
      <c r="G278" s="24" t="s">
        <v>573</v>
      </c>
      <c r="H278" s="25"/>
      <c r="I278" s="25"/>
      <c r="J278" s="25"/>
      <c r="K278" s="25"/>
      <c r="L278" s="25"/>
      <c r="M278" s="25"/>
      <c r="N278" s="25"/>
      <c r="O278" s="25"/>
      <c r="P278" s="25">
        <v>58.3</v>
      </c>
      <c r="Q278" s="25">
        <v>58.3</v>
      </c>
      <c r="R278" s="25"/>
      <c r="S278" s="25"/>
      <c r="T278" s="77"/>
    </row>
    <row r="279" spans="1:20" s="15" customFormat="1" ht="30.75" customHeight="1">
      <c r="A279" s="111"/>
      <c r="B279" s="111"/>
      <c r="C279" s="111"/>
      <c r="D279" s="23" t="s">
        <v>155</v>
      </c>
      <c r="E279" s="24" t="s">
        <v>156</v>
      </c>
      <c r="F279" s="24" t="s">
        <v>643</v>
      </c>
      <c r="G279" s="24" t="s">
        <v>573</v>
      </c>
      <c r="H279" s="25"/>
      <c r="I279" s="25"/>
      <c r="J279" s="25"/>
      <c r="K279" s="25"/>
      <c r="L279" s="25"/>
      <c r="M279" s="25"/>
      <c r="N279" s="25"/>
      <c r="O279" s="25"/>
      <c r="P279" s="25">
        <v>34.9</v>
      </c>
      <c r="Q279" s="25">
        <v>34.9</v>
      </c>
      <c r="R279" s="25"/>
      <c r="S279" s="25"/>
      <c r="T279" s="77"/>
    </row>
    <row r="280" spans="1:20" s="22" customFormat="1" ht="25.5" customHeight="1">
      <c r="A280" s="133" t="s">
        <v>345</v>
      </c>
      <c r="B280" s="134"/>
      <c r="C280" s="17" t="s">
        <v>57</v>
      </c>
      <c r="D280" s="18"/>
      <c r="E280" s="18"/>
      <c r="F280" s="18"/>
      <c r="G280" s="18"/>
      <c r="H280" s="20">
        <f>H282</f>
        <v>1500</v>
      </c>
      <c r="I280" s="20">
        <f>I282</f>
        <v>1200</v>
      </c>
      <c r="J280" s="20">
        <f t="shared" ref="J280:O280" si="109">J282</f>
        <v>0</v>
      </c>
      <c r="K280" s="20">
        <f t="shared" si="109"/>
        <v>0</v>
      </c>
      <c r="L280" s="20">
        <f t="shared" si="109"/>
        <v>300</v>
      </c>
      <c r="M280" s="20">
        <f t="shared" si="109"/>
        <v>300</v>
      </c>
      <c r="N280" s="20">
        <f t="shared" si="109"/>
        <v>490</v>
      </c>
      <c r="O280" s="20">
        <f t="shared" si="109"/>
        <v>490</v>
      </c>
      <c r="P280" s="20">
        <f>P282</f>
        <v>1575</v>
      </c>
      <c r="Q280" s="20">
        <f>Q282</f>
        <v>1490</v>
      </c>
      <c r="R280" s="20">
        <f t="shared" ref="R280:S280" si="110">R282</f>
        <v>230</v>
      </c>
      <c r="S280" s="20">
        <f t="shared" si="110"/>
        <v>230</v>
      </c>
      <c r="T280" s="76"/>
    </row>
    <row r="281" spans="1:20" s="22" customFormat="1" ht="25.5" customHeight="1">
      <c r="A281" s="133"/>
      <c r="B281" s="134"/>
      <c r="C281" s="17" t="s">
        <v>250</v>
      </c>
      <c r="D281" s="18"/>
      <c r="E281" s="18"/>
      <c r="F281" s="18"/>
      <c r="G281" s="18"/>
      <c r="H281" s="19"/>
      <c r="I281" s="19"/>
      <c r="J281" s="19"/>
      <c r="K281" s="19"/>
      <c r="L281" s="19"/>
      <c r="M281" s="19"/>
      <c r="N281" s="19"/>
      <c r="O281" s="19"/>
      <c r="P281" s="19"/>
      <c r="Q281" s="19"/>
      <c r="R281" s="19"/>
      <c r="S281" s="19"/>
      <c r="T281" s="76"/>
    </row>
    <row r="282" spans="1:20" s="22" customFormat="1" ht="42" customHeight="1">
      <c r="A282" s="133"/>
      <c r="B282" s="134"/>
      <c r="C282" s="17" t="s">
        <v>346</v>
      </c>
      <c r="D282" s="26" t="s">
        <v>347</v>
      </c>
      <c r="E282" s="18"/>
      <c r="F282" s="18"/>
      <c r="G282" s="18"/>
      <c r="H282" s="19">
        <f>H283+H285+H287</f>
        <v>1500</v>
      </c>
      <c r="I282" s="19">
        <f>I283+I285+I287</f>
        <v>1200</v>
      </c>
      <c r="J282" s="19">
        <f t="shared" ref="J282:O282" si="111">J283+J285+J287</f>
        <v>0</v>
      </c>
      <c r="K282" s="19">
        <f t="shared" si="111"/>
        <v>0</v>
      </c>
      <c r="L282" s="19">
        <f t="shared" si="111"/>
        <v>300</v>
      </c>
      <c r="M282" s="19">
        <f t="shared" si="111"/>
        <v>300</v>
      </c>
      <c r="N282" s="19">
        <f t="shared" si="111"/>
        <v>490</v>
      </c>
      <c r="O282" s="19">
        <f t="shared" si="111"/>
        <v>490</v>
      </c>
      <c r="P282" s="19">
        <f>P283+P285+P287</f>
        <v>1575</v>
      </c>
      <c r="Q282" s="19">
        <f>Q283+Q285+Q287</f>
        <v>1490</v>
      </c>
      <c r="R282" s="19">
        <f>R283+R285+R287+R289</f>
        <v>230</v>
      </c>
      <c r="S282" s="19">
        <f>S283+S285+S287+S289</f>
        <v>230</v>
      </c>
      <c r="T282" s="76"/>
    </row>
    <row r="283" spans="1:20" s="15" customFormat="1" ht="33" customHeight="1">
      <c r="A283" s="106" t="s">
        <v>348</v>
      </c>
      <c r="B283" s="106" t="s">
        <v>349</v>
      </c>
      <c r="C283" s="11" t="s">
        <v>57</v>
      </c>
      <c r="D283" s="23"/>
      <c r="E283" s="24"/>
      <c r="F283" s="24"/>
      <c r="G283" s="24"/>
      <c r="H283" s="25">
        <f>H284</f>
        <v>900</v>
      </c>
      <c r="I283" s="25">
        <f>I284</f>
        <v>600</v>
      </c>
      <c r="J283" s="25">
        <f t="shared" ref="J283:O283" si="112">J284</f>
        <v>0</v>
      </c>
      <c r="K283" s="25">
        <f t="shared" si="112"/>
        <v>0</v>
      </c>
      <c r="L283" s="25">
        <f t="shared" si="112"/>
        <v>300</v>
      </c>
      <c r="M283" s="25">
        <f t="shared" si="112"/>
        <v>300</v>
      </c>
      <c r="N283" s="25">
        <f t="shared" si="112"/>
        <v>300</v>
      </c>
      <c r="O283" s="25">
        <f t="shared" si="112"/>
        <v>300</v>
      </c>
      <c r="P283" s="25">
        <f>P284</f>
        <v>800</v>
      </c>
      <c r="Q283" s="25">
        <f>Q284</f>
        <v>800</v>
      </c>
      <c r="R283" s="25"/>
      <c r="S283" s="25"/>
      <c r="T283" s="73"/>
    </row>
    <row r="284" spans="1:20" s="15" customFormat="1" ht="67.5" customHeight="1">
      <c r="A284" s="106"/>
      <c r="B284" s="106"/>
      <c r="C284" s="11" t="s">
        <v>350</v>
      </c>
      <c r="D284" s="23" t="s">
        <v>347</v>
      </c>
      <c r="E284" s="24" t="s">
        <v>351</v>
      </c>
      <c r="F284" s="24" t="s">
        <v>352</v>
      </c>
      <c r="G284" s="24" t="s">
        <v>353</v>
      </c>
      <c r="H284" s="25">
        <v>900</v>
      </c>
      <c r="I284" s="25">
        <v>600</v>
      </c>
      <c r="J284" s="25"/>
      <c r="K284" s="25"/>
      <c r="L284" s="25">
        <v>300</v>
      </c>
      <c r="M284" s="25">
        <v>300</v>
      </c>
      <c r="N284" s="25">
        <v>300</v>
      </c>
      <c r="O284" s="25">
        <v>300</v>
      </c>
      <c r="P284" s="25">
        <v>800</v>
      </c>
      <c r="Q284" s="25">
        <v>800</v>
      </c>
      <c r="R284" s="25"/>
      <c r="S284" s="25"/>
      <c r="T284" s="77"/>
    </row>
    <row r="285" spans="1:20" s="15" customFormat="1" ht="33.75" customHeight="1">
      <c r="A285" s="109" t="s">
        <v>354</v>
      </c>
      <c r="B285" s="106" t="s">
        <v>355</v>
      </c>
      <c r="C285" s="11" t="s">
        <v>57</v>
      </c>
      <c r="D285" s="23"/>
      <c r="E285" s="24"/>
      <c r="F285" s="24"/>
      <c r="G285" s="24"/>
      <c r="H285" s="25">
        <f>H286</f>
        <v>420</v>
      </c>
      <c r="I285" s="25">
        <f>I286</f>
        <v>420</v>
      </c>
      <c r="J285" s="25">
        <f t="shared" ref="J285:O285" si="113">J286</f>
        <v>0</v>
      </c>
      <c r="K285" s="25">
        <f t="shared" si="113"/>
        <v>0</v>
      </c>
      <c r="L285" s="25">
        <f t="shared" si="113"/>
        <v>0</v>
      </c>
      <c r="M285" s="25">
        <f t="shared" si="113"/>
        <v>0</v>
      </c>
      <c r="N285" s="25">
        <f t="shared" si="113"/>
        <v>0</v>
      </c>
      <c r="O285" s="25">
        <f t="shared" si="113"/>
        <v>0</v>
      </c>
      <c r="P285" s="25">
        <f>P286</f>
        <v>585</v>
      </c>
      <c r="Q285" s="25">
        <f>Q286</f>
        <v>500</v>
      </c>
      <c r="R285" s="25"/>
      <c r="S285" s="25"/>
      <c r="T285" s="73"/>
    </row>
    <row r="286" spans="1:20" s="15" customFormat="1" ht="45.75" customHeight="1">
      <c r="A286" s="110"/>
      <c r="B286" s="106"/>
      <c r="C286" s="11" t="s">
        <v>350</v>
      </c>
      <c r="D286" s="23" t="s">
        <v>347</v>
      </c>
      <c r="E286" s="24" t="s">
        <v>351</v>
      </c>
      <c r="F286" s="24" t="s">
        <v>356</v>
      </c>
      <c r="G286" s="24" t="s">
        <v>353</v>
      </c>
      <c r="H286" s="25">
        <v>420</v>
      </c>
      <c r="I286" s="25">
        <v>420</v>
      </c>
      <c r="J286" s="25"/>
      <c r="K286" s="25"/>
      <c r="L286" s="25"/>
      <c r="M286" s="25"/>
      <c r="N286" s="25"/>
      <c r="O286" s="25"/>
      <c r="P286" s="25">
        <v>585</v>
      </c>
      <c r="Q286" s="25">
        <v>500</v>
      </c>
      <c r="R286" s="25"/>
      <c r="S286" s="25"/>
      <c r="T286" s="78" t="s">
        <v>660</v>
      </c>
    </row>
    <row r="287" spans="1:20" s="15" customFormat="1" ht="43.5" customHeight="1">
      <c r="A287" s="109" t="s">
        <v>357</v>
      </c>
      <c r="B287" s="106" t="s">
        <v>358</v>
      </c>
      <c r="C287" s="11" t="s">
        <v>57</v>
      </c>
      <c r="D287" s="23"/>
      <c r="E287" s="23"/>
      <c r="F287" s="23"/>
      <c r="G287" s="23"/>
      <c r="H287" s="25">
        <f>H288</f>
        <v>180</v>
      </c>
      <c r="I287" s="25">
        <f>I288</f>
        <v>180</v>
      </c>
      <c r="J287" s="25">
        <f t="shared" ref="J287:O289" si="114">J288</f>
        <v>0</v>
      </c>
      <c r="K287" s="25">
        <f t="shared" si="114"/>
        <v>0</v>
      </c>
      <c r="L287" s="25">
        <f t="shared" si="114"/>
        <v>0</v>
      </c>
      <c r="M287" s="25">
        <f t="shared" si="114"/>
        <v>0</v>
      </c>
      <c r="N287" s="25">
        <f t="shared" si="114"/>
        <v>190</v>
      </c>
      <c r="O287" s="25">
        <f t="shared" si="114"/>
        <v>190</v>
      </c>
      <c r="P287" s="25">
        <f>P288</f>
        <v>190</v>
      </c>
      <c r="Q287" s="25">
        <f>Q288</f>
        <v>190</v>
      </c>
      <c r="R287" s="25">
        <f t="shared" ref="R287:S289" si="115">R288</f>
        <v>200</v>
      </c>
      <c r="S287" s="25">
        <f t="shared" si="115"/>
        <v>200</v>
      </c>
      <c r="T287" s="73"/>
    </row>
    <row r="288" spans="1:20" s="15" customFormat="1" ht="63" customHeight="1">
      <c r="A288" s="110"/>
      <c r="B288" s="106"/>
      <c r="C288" s="11" t="s">
        <v>350</v>
      </c>
      <c r="D288" s="23" t="s">
        <v>347</v>
      </c>
      <c r="E288" s="24" t="s">
        <v>351</v>
      </c>
      <c r="F288" s="24" t="s">
        <v>359</v>
      </c>
      <c r="G288" s="24" t="s">
        <v>353</v>
      </c>
      <c r="H288" s="25">
        <v>180</v>
      </c>
      <c r="I288" s="25">
        <v>180</v>
      </c>
      <c r="J288" s="25"/>
      <c r="K288" s="25"/>
      <c r="L288" s="25"/>
      <c r="M288" s="25"/>
      <c r="N288" s="25">
        <v>190</v>
      </c>
      <c r="O288" s="25">
        <v>190</v>
      </c>
      <c r="P288" s="25">
        <v>190</v>
      </c>
      <c r="Q288" s="25">
        <v>190</v>
      </c>
      <c r="R288" s="25">
        <v>200</v>
      </c>
      <c r="S288" s="25">
        <v>200</v>
      </c>
      <c r="T288" s="73"/>
    </row>
    <row r="289" spans="1:20" s="15" customFormat="1" ht="43.5" customHeight="1">
      <c r="A289" s="109" t="s">
        <v>724</v>
      </c>
      <c r="B289" s="106" t="s">
        <v>725</v>
      </c>
      <c r="C289" s="71" t="s">
        <v>57</v>
      </c>
      <c r="D289" s="23"/>
      <c r="E289" s="23"/>
      <c r="F289" s="23"/>
      <c r="G289" s="23"/>
      <c r="H289" s="25">
        <f>H290</f>
        <v>0</v>
      </c>
      <c r="I289" s="25">
        <f>I290</f>
        <v>0</v>
      </c>
      <c r="J289" s="25">
        <f t="shared" si="114"/>
        <v>0</v>
      </c>
      <c r="K289" s="25">
        <f t="shared" si="114"/>
        <v>0</v>
      </c>
      <c r="L289" s="25">
        <f t="shared" si="114"/>
        <v>0</v>
      </c>
      <c r="M289" s="25">
        <f t="shared" si="114"/>
        <v>0</v>
      </c>
      <c r="N289" s="25">
        <f t="shared" si="114"/>
        <v>0</v>
      </c>
      <c r="O289" s="25">
        <f t="shared" si="114"/>
        <v>0</v>
      </c>
      <c r="P289" s="25">
        <f>P290</f>
        <v>0</v>
      </c>
      <c r="Q289" s="25">
        <f>Q290</f>
        <v>0</v>
      </c>
      <c r="R289" s="25">
        <f t="shared" si="115"/>
        <v>30</v>
      </c>
      <c r="S289" s="25">
        <f t="shared" si="115"/>
        <v>30</v>
      </c>
      <c r="T289" s="73"/>
    </row>
    <row r="290" spans="1:20" s="15" customFormat="1" ht="51.75" customHeight="1">
      <c r="A290" s="110"/>
      <c r="B290" s="106"/>
      <c r="C290" s="71" t="s">
        <v>350</v>
      </c>
      <c r="D290" s="23" t="s">
        <v>347</v>
      </c>
      <c r="E290" s="24" t="s">
        <v>351</v>
      </c>
      <c r="F290" s="24" t="s">
        <v>726</v>
      </c>
      <c r="G290" s="24" t="s">
        <v>353</v>
      </c>
      <c r="H290" s="25"/>
      <c r="I290" s="25"/>
      <c r="J290" s="25"/>
      <c r="K290" s="25"/>
      <c r="L290" s="25"/>
      <c r="M290" s="25"/>
      <c r="N290" s="25"/>
      <c r="O290" s="25"/>
      <c r="P290" s="25"/>
      <c r="Q290" s="25"/>
      <c r="R290" s="25">
        <v>30</v>
      </c>
      <c r="S290" s="25">
        <v>30</v>
      </c>
      <c r="T290" s="73"/>
    </row>
    <row r="291" spans="1:20" s="22" customFormat="1" ht="18" customHeight="1">
      <c r="A291" s="133" t="s">
        <v>360</v>
      </c>
      <c r="B291" s="134"/>
      <c r="C291" s="17" t="s">
        <v>57</v>
      </c>
      <c r="D291" s="18"/>
      <c r="E291" s="18"/>
      <c r="F291" s="18"/>
      <c r="G291" s="18"/>
      <c r="H291" s="20">
        <f>H293+H295+H294</f>
        <v>8792.2021000000004</v>
      </c>
      <c r="I291" s="20">
        <f t="shared" ref="I291:S291" si="116">I293+I295+I294</f>
        <v>8390.2016199999998</v>
      </c>
      <c r="J291" s="20">
        <f t="shared" si="116"/>
        <v>1589.0714800000001</v>
      </c>
      <c r="K291" s="20">
        <f t="shared" si="116"/>
        <v>1589.0705</v>
      </c>
      <c r="L291" s="20">
        <f>L293+L295+L294</f>
        <v>4999.2501799999991</v>
      </c>
      <c r="M291" s="20">
        <f>M293+M295+M294</f>
        <v>4764.7552799999994</v>
      </c>
      <c r="N291" s="20">
        <f>N293+N295+N294</f>
        <v>6995.2794999999996</v>
      </c>
      <c r="O291" s="20">
        <f t="shared" si="116"/>
        <v>6948.1485999999995</v>
      </c>
      <c r="P291" s="20">
        <f t="shared" si="116"/>
        <v>9034.9347099999995</v>
      </c>
      <c r="Q291" s="20">
        <f t="shared" si="116"/>
        <v>8981.0499600000003</v>
      </c>
      <c r="R291" s="20">
        <f>R293+R295+R294</f>
        <v>8433.148000000001</v>
      </c>
      <c r="S291" s="20">
        <f t="shared" si="116"/>
        <v>8433.148000000001</v>
      </c>
      <c r="T291" s="76"/>
    </row>
    <row r="292" spans="1:20" s="22" customFormat="1" ht="18" customHeight="1">
      <c r="A292" s="133"/>
      <c r="B292" s="134"/>
      <c r="C292" s="17" t="s">
        <v>250</v>
      </c>
      <c r="D292" s="18"/>
      <c r="E292" s="18"/>
      <c r="F292" s="18"/>
      <c r="G292" s="18"/>
      <c r="H292" s="19"/>
      <c r="I292" s="19"/>
      <c r="J292" s="19"/>
      <c r="K292" s="19"/>
      <c r="L292" s="19"/>
      <c r="M292" s="19"/>
      <c r="N292" s="19"/>
      <c r="O292" s="19"/>
      <c r="P292" s="19"/>
      <c r="Q292" s="19"/>
      <c r="R292" s="19"/>
      <c r="S292" s="19"/>
      <c r="T292" s="76"/>
    </row>
    <row r="293" spans="1:20" s="22" customFormat="1" ht="29.25" customHeight="1">
      <c r="A293" s="133"/>
      <c r="B293" s="134"/>
      <c r="C293" s="17" t="s">
        <v>346</v>
      </c>
      <c r="D293" s="26" t="s">
        <v>347</v>
      </c>
      <c r="E293" s="18"/>
      <c r="F293" s="18"/>
      <c r="G293" s="18"/>
      <c r="H293" s="19">
        <f>H296-H315-H319+H323</f>
        <v>8692.2021000000004</v>
      </c>
      <c r="I293" s="19">
        <f t="shared" ref="I293:S293" si="117">I296-I315-I319+I323</f>
        <v>8390.2016199999998</v>
      </c>
      <c r="J293" s="19">
        <f t="shared" si="117"/>
        <v>1589.0714800000001</v>
      </c>
      <c r="K293" s="19">
        <f t="shared" si="117"/>
        <v>1589.0705</v>
      </c>
      <c r="L293" s="19">
        <f t="shared" si="117"/>
        <v>4597.9931799999995</v>
      </c>
      <c r="M293" s="19">
        <f>M296-M315-M319+M323</f>
        <v>4593.9622799999997</v>
      </c>
      <c r="N293" s="19">
        <f t="shared" si="117"/>
        <v>6464.0225</v>
      </c>
      <c r="O293" s="19">
        <f t="shared" si="117"/>
        <v>6459.9915999999994</v>
      </c>
      <c r="P293" s="19">
        <f t="shared" si="117"/>
        <v>8393.3777099999988</v>
      </c>
      <c r="Q293" s="19">
        <f t="shared" si="117"/>
        <v>8339.4929599999996</v>
      </c>
      <c r="R293" s="19">
        <f t="shared" si="117"/>
        <v>8162.3550000000014</v>
      </c>
      <c r="S293" s="19">
        <f t="shared" si="117"/>
        <v>8162.3550000000014</v>
      </c>
      <c r="T293" s="76"/>
    </row>
    <row r="294" spans="1:20" s="22" customFormat="1" ht="29.25" customHeight="1">
      <c r="A294" s="133"/>
      <c r="B294" s="134"/>
      <c r="C294" s="51" t="s">
        <v>457</v>
      </c>
      <c r="D294" s="26" t="s">
        <v>155</v>
      </c>
      <c r="E294" s="18"/>
      <c r="F294" s="18"/>
      <c r="G294" s="18"/>
      <c r="H294" s="19">
        <f>H315+H331</f>
        <v>0</v>
      </c>
      <c r="I294" s="19">
        <f t="shared" ref="I294:O294" si="118">I315+I331</f>
        <v>0</v>
      </c>
      <c r="J294" s="19">
        <f t="shared" si="118"/>
        <v>0</v>
      </c>
      <c r="K294" s="19">
        <f t="shared" si="118"/>
        <v>0</v>
      </c>
      <c r="L294" s="19">
        <f>L315+L331</f>
        <v>301.25700000000001</v>
      </c>
      <c r="M294" s="19">
        <f>M315+M331</f>
        <v>70.793000000000006</v>
      </c>
      <c r="N294" s="19">
        <f t="shared" si="118"/>
        <v>431.25700000000001</v>
      </c>
      <c r="O294" s="19">
        <f t="shared" si="118"/>
        <v>388.15700000000004</v>
      </c>
      <c r="P294" s="19">
        <f>P315+P331</f>
        <v>541.55700000000002</v>
      </c>
      <c r="Q294" s="19">
        <f t="shared" ref="Q294:S294" si="119">Q315+Q331</f>
        <v>541.55700000000002</v>
      </c>
      <c r="R294" s="19">
        <f t="shared" si="119"/>
        <v>170.79300000000001</v>
      </c>
      <c r="S294" s="19">
        <f t="shared" si="119"/>
        <v>170.79300000000001</v>
      </c>
      <c r="T294" s="76"/>
    </row>
    <row r="295" spans="1:20" s="22" customFormat="1" ht="38.25" customHeight="1">
      <c r="A295" s="133"/>
      <c r="B295" s="134"/>
      <c r="C295" s="17" t="s">
        <v>132</v>
      </c>
      <c r="D295" s="26" t="s">
        <v>59</v>
      </c>
      <c r="E295" s="18"/>
      <c r="F295" s="18"/>
      <c r="G295" s="18"/>
      <c r="H295" s="19">
        <f>H319</f>
        <v>100</v>
      </c>
      <c r="I295" s="19">
        <f t="shared" ref="I295:S295" si="120">I319</f>
        <v>0</v>
      </c>
      <c r="J295" s="19">
        <f t="shared" si="120"/>
        <v>0</v>
      </c>
      <c r="K295" s="19">
        <f t="shared" si="120"/>
        <v>0</v>
      </c>
      <c r="L295" s="19">
        <f t="shared" si="120"/>
        <v>100</v>
      </c>
      <c r="M295" s="19">
        <f t="shared" si="120"/>
        <v>100</v>
      </c>
      <c r="N295" s="19">
        <f t="shared" si="120"/>
        <v>100</v>
      </c>
      <c r="O295" s="19">
        <f t="shared" si="120"/>
        <v>100</v>
      </c>
      <c r="P295" s="19">
        <f t="shared" si="120"/>
        <v>100</v>
      </c>
      <c r="Q295" s="19">
        <f t="shared" si="120"/>
        <v>100</v>
      </c>
      <c r="R295" s="19">
        <f t="shared" si="120"/>
        <v>100</v>
      </c>
      <c r="S295" s="19">
        <f t="shared" si="120"/>
        <v>100</v>
      </c>
      <c r="T295" s="76"/>
    </row>
    <row r="296" spans="1:20" s="15" customFormat="1" ht="24.75" customHeight="1">
      <c r="A296" s="109" t="s">
        <v>361</v>
      </c>
      <c r="B296" s="11"/>
      <c r="C296" s="11" t="s">
        <v>57</v>
      </c>
      <c r="D296" s="23"/>
      <c r="E296" s="24"/>
      <c r="F296" s="24"/>
      <c r="G296" s="24"/>
      <c r="H296" s="25">
        <f>SUM(H298:H314)+H315+H319</f>
        <v>8495.4421000000002</v>
      </c>
      <c r="I296" s="25">
        <f t="shared" ref="I296:S296" si="121">SUM(I298:I314)+I315+I319</f>
        <v>8146.6456200000002</v>
      </c>
      <c r="J296" s="25">
        <f t="shared" si="121"/>
        <v>1583.0714800000001</v>
      </c>
      <c r="K296" s="25">
        <f t="shared" si="121"/>
        <v>1583.0705</v>
      </c>
      <c r="L296" s="25">
        <f t="shared" si="121"/>
        <v>4934.2501799999991</v>
      </c>
      <c r="M296" s="25">
        <f t="shared" si="121"/>
        <v>4736.7552799999994</v>
      </c>
      <c r="N296" s="25">
        <f t="shared" si="121"/>
        <v>6889.2794999999996</v>
      </c>
      <c r="O296" s="25">
        <f t="shared" si="121"/>
        <v>6842.1485999999995</v>
      </c>
      <c r="P296" s="25">
        <f t="shared" si="121"/>
        <v>8888.9347099999995</v>
      </c>
      <c r="Q296" s="25">
        <f t="shared" si="121"/>
        <v>8835.0499600000003</v>
      </c>
      <c r="R296" s="25">
        <f>SUM(R298:R314)+R315+R319</f>
        <v>8287.148000000001</v>
      </c>
      <c r="S296" s="25">
        <f t="shared" si="121"/>
        <v>8287.148000000001</v>
      </c>
      <c r="T296" s="73"/>
    </row>
    <row r="297" spans="1:20" s="15" customFormat="1" ht="18.75" customHeight="1">
      <c r="A297" s="110"/>
      <c r="B297" s="11"/>
      <c r="C297" s="11" t="s">
        <v>362</v>
      </c>
      <c r="D297" s="23"/>
      <c r="E297" s="24"/>
      <c r="F297" s="24"/>
      <c r="G297" s="24"/>
      <c r="H297" s="25"/>
      <c r="I297" s="25"/>
      <c r="J297" s="25"/>
      <c r="K297" s="25"/>
      <c r="L297" s="25"/>
      <c r="M297" s="25"/>
      <c r="N297" s="25"/>
      <c r="O297" s="25"/>
      <c r="P297" s="25"/>
      <c r="Q297" s="25"/>
      <c r="R297" s="25"/>
      <c r="S297" s="25"/>
      <c r="T297" s="73"/>
    </row>
    <row r="298" spans="1:20" s="15" customFormat="1" ht="105" customHeight="1">
      <c r="A298" s="110"/>
      <c r="B298" s="11" t="s">
        <v>30</v>
      </c>
      <c r="C298" s="109" t="s">
        <v>346</v>
      </c>
      <c r="D298" s="23" t="s">
        <v>347</v>
      </c>
      <c r="E298" s="24" t="s">
        <v>75</v>
      </c>
      <c r="F298" s="24" t="s">
        <v>363</v>
      </c>
      <c r="G298" s="24" t="s">
        <v>570</v>
      </c>
      <c r="H298" s="25">
        <f>39.46809+205.27191</f>
        <v>244.73999999999998</v>
      </c>
      <c r="I298" s="25">
        <f>39.46809+205.27191</f>
        <v>244.73999999999998</v>
      </c>
      <c r="J298" s="25">
        <v>38.326419999999999</v>
      </c>
      <c r="K298" s="25">
        <v>38.326419999999999</v>
      </c>
      <c r="L298" s="25">
        <v>98.810320000000004</v>
      </c>
      <c r="M298" s="25">
        <v>98.810320000000004</v>
      </c>
      <c r="N298" s="25">
        <f>52.72141+207.51249</f>
        <v>260.23390000000001</v>
      </c>
      <c r="O298" s="25">
        <f>52.72141+207.51249</f>
        <v>260.23390000000001</v>
      </c>
      <c r="P298" s="25">
        <f>128.82106+357.07565</f>
        <v>485.89670999999998</v>
      </c>
      <c r="Q298" s="25">
        <f>128.82106+357.07565</f>
        <v>485.89670999999998</v>
      </c>
      <c r="R298" s="25"/>
      <c r="S298" s="25"/>
      <c r="T298" s="73"/>
    </row>
    <row r="299" spans="1:20" s="15" customFormat="1" ht="42" customHeight="1">
      <c r="A299" s="110"/>
      <c r="B299" s="11" t="s">
        <v>364</v>
      </c>
      <c r="C299" s="110"/>
      <c r="D299" s="23" t="s">
        <v>347</v>
      </c>
      <c r="E299" s="24" t="s">
        <v>75</v>
      </c>
      <c r="F299" s="24" t="s">
        <v>365</v>
      </c>
      <c r="G299" s="24" t="s">
        <v>573</v>
      </c>
      <c r="H299" s="25">
        <v>666.56209999999999</v>
      </c>
      <c r="I299" s="25">
        <v>666.45209999999997</v>
      </c>
      <c r="J299" s="25"/>
      <c r="K299" s="25"/>
      <c r="L299" s="25">
        <v>597.1</v>
      </c>
      <c r="M299" s="25">
        <v>597.1</v>
      </c>
      <c r="N299" s="25">
        <v>597.1</v>
      </c>
      <c r="O299" s="25">
        <v>597.1</v>
      </c>
      <c r="P299" s="25">
        <v>597.1</v>
      </c>
      <c r="Q299" s="25">
        <v>596.92999999999995</v>
      </c>
      <c r="R299" s="25">
        <v>597.1</v>
      </c>
      <c r="S299" s="25">
        <v>597.1</v>
      </c>
      <c r="T299" s="73"/>
    </row>
    <row r="300" spans="1:20" s="15" customFormat="1" ht="42" customHeight="1">
      <c r="A300" s="110"/>
      <c r="B300" s="11" t="s">
        <v>366</v>
      </c>
      <c r="C300" s="110"/>
      <c r="D300" s="23" t="s">
        <v>347</v>
      </c>
      <c r="E300" s="24" t="s">
        <v>75</v>
      </c>
      <c r="F300" s="24" t="s">
        <v>367</v>
      </c>
      <c r="G300" s="24" t="s">
        <v>63</v>
      </c>
      <c r="H300" s="25">
        <v>138.6</v>
      </c>
      <c r="I300" s="25">
        <v>138.6</v>
      </c>
      <c r="J300" s="25"/>
      <c r="K300" s="25"/>
      <c r="L300" s="25"/>
      <c r="M300" s="25"/>
      <c r="N300" s="25"/>
      <c r="O300" s="25"/>
      <c r="P300" s="25"/>
      <c r="Q300" s="25"/>
      <c r="R300" s="25"/>
      <c r="S300" s="25"/>
      <c r="T300" s="73"/>
    </row>
    <row r="301" spans="1:20" s="15" customFormat="1" ht="42" customHeight="1">
      <c r="A301" s="110"/>
      <c r="B301" s="11" t="s">
        <v>40</v>
      </c>
      <c r="C301" s="110"/>
      <c r="D301" s="23" t="s">
        <v>347</v>
      </c>
      <c r="E301" s="24" t="s">
        <v>75</v>
      </c>
      <c r="F301" s="24" t="s">
        <v>368</v>
      </c>
      <c r="G301" s="24" t="s">
        <v>570</v>
      </c>
      <c r="H301" s="25">
        <v>5876.1949999999997</v>
      </c>
      <c r="I301" s="25">
        <v>5742.9485199999999</v>
      </c>
      <c r="J301" s="25">
        <v>1413.5450599999999</v>
      </c>
      <c r="K301" s="25">
        <v>1413.5440799999999</v>
      </c>
      <c r="L301" s="25">
        <v>3007.2798600000001</v>
      </c>
      <c r="M301" s="25">
        <v>3007.2788799999998</v>
      </c>
      <c r="N301" s="25">
        <v>4652.1755999999996</v>
      </c>
      <c r="O301" s="25">
        <v>4652.1746199999998</v>
      </c>
      <c r="P301" s="25">
        <v>6353.0871299999999</v>
      </c>
      <c r="Q301" s="25">
        <v>6303.4022999999997</v>
      </c>
      <c r="R301" s="25">
        <v>6239.9780000000001</v>
      </c>
      <c r="S301" s="25">
        <v>6239.9780000000001</v>
      </c>
      <c r="T301" s="75" t="s">
        <v>755</v>
      </c>
    </row>
    <row r="302" spans="1:20" s="15" customFormat="1" ht="42" customHeight="1">
      <c r="A302" s="110"/>
      <c r="B302" s="11" t="s">
        <v>369</v>
      </c>
      <c r="C302" s="110"/>
      <c r="D302" s="23" t="s">
        <v>347</v>
      </c>
      <c r="E302" s="24" t="s">
        <v>75</v>
      </c>
      <c r="F302" s="24" t="s">
        <v>370</v>
      </c>
      <c r="G302" s="24" t="s">
        <v>141</v>
      </c>
      <c r="H302" s="25">
        <v>38.24</v>
      </c>
      <c r="I302" s="25">
        <v>5.44</v>
      </c>
      <c r="J302" s="25"/>
      <c r="K302" s="25"/>
      <c r="L302" s="25"/>
      <c r="M302" s="25"/>
      <c r="N302" s="25"/>
      <c r="O302" s="25"/>
      <c r="P302" s="25"/>
      <c r="Q302" s="25"/>
      <c r="R302" s="25"/>
      <c r="S302" s="25"/>
      <c r="T302" s="75"/>
    </row>
    <row r="303" spans="1:20" s="15" customFormat="1" ht="29.25" customHeight="1">
      <c r="A303" s="110"/>
      <c r="B303" s="11" t="s">
        <v>371</v>
      </c>
      <c r="C303" s="110"/>
      <c r="D303" s="23" t="s">
        <v>347</v>
      </c>
      <c r="E303" s="24" t="s">
        <v>75</v>
      </c>
      <c r="F303" s="24" t="s">
        <v>372</v>
      </c>
      <c r="G303" s="24" t="s">
        <v>83</v>
      </c>
      <c r="H303" s="25">
        <v>13.56</v>
      </c>
      <c r="I303" s="25">
        <v>13.56</v>
      </c>
      <c r="J303" s="25"/>
      <c r="K303" s="25"/>
      <c r="L303" s="57"/>
      <c r="M303" s="57"/>
      <c r="N303" s="25"/>
      <c r="O303" s="25"/>
      <c r="P303" s="25"/>
      <c r="Q303" s="25"/>
      <c r="R303" s="25"/>
      <c r="S303" s="25"/>
      <c r="T303" s="73"/>
    </row>
    <row r="304" spans="1:20" s="15" customFormat="1" ht="40.5" customHeight="1">
      <c r="A304" s="110"/>
      <c r="B304" s="11" t="s">
        <v>373</v>
      </c>
      <c r="C304" s="110"/>
      <c r="D304" s="23" t="s">
        <v>347</v>
      </c>
      <c r="E304" s="24" t="s">
        <v>75</v>
      </c>
      <c r="F304" s="24" t="s">
        <v>374</v>
      </c>
      <c r="G304" s="24" t="s">
        <v>141</v>
      </c>
      <c r="H304" s="25">
        <v>144.9</v>
      </c>
      <c r="I304" s="25">
        <v>132.1</v>
      </c>
      <c r="J304" s="25"/>
      <c r="K304" s="25"/>
      <c r="L304" s="25"/>
      <c r="M304" s="25"/>
      <c r="N304" s="25"/>
      <c r="O304" s="25"/>
      <c r="P304" s="25"/>
      <c r="Q304" s="25"/>
      <c r="R304" s="25"/>
      <c r="S304" s="25"/>
      <c r="T304" s="75"/>
    </row>
    <row r="305" spans="1:20" s="15" customFormat="1" ht="33.75" customHeight="1">
      <c r="A305" s="110"/>
      <c r="B305" s="11" t="s">
        <v>375</v>
      </c>
      <c r="C305" s="110"/>
      <c r="D305" s="23" t="s">
        <v>347</v>
      </c>
      <c r="E305" s="24" t="s">
        <v>75</v>
      </c>
      <c r="F305" s="24" t="s">
        <v>376</v>
      </c>
      <c r="G305" s="24" t="s">
        <v>141</v>
      </c>
      <c r="H305" s="25">
        <v>57.72</v>
      </c>
      <c r="I305" s="25">
        <v>39</v>
      </c>
      <c r="J305" s="25"/>
      <c r="K305" s="25"/>
      <c r="L305" s="25"/>
      <c r="M305" s="25"/>
      <c r="N305" s="25"/>
      <c r="O305" s="25"/>
      <c r="P305" s="25"/>
      <c r="Q305" s="25"/>
      <c r="R305" s="25"/>
      <c r="S305" s="25"/>
      <c r="T305" s="75"/>
    </row>
    <row r="306" spans="1:20" s="15" customFormat="1" ht="34.5" customHeight="1">
      <c r="A306" s="110"/>
      <c r="B306" s="109" t="s">
        <v>377</v>
      </c>
      <c r="C306" s="110"/>
      <c r="D306" s="23" t="s">
        <v>347</v>
      </c>
      <c r="E306" s="24" t="s">
        <v>75</v>
      </c>
      <c r="F306" s="24" t="s">
        <v>378</v>
      </c>
      <c r="G306" s="24" t="s">
        <v>141</v>
      </c>
      <c r="H306" s="25">
        <v>156.5</v>
      </c>
      <c r="I306" s="25">
        <v>156.5</v>
      </c>
      <c r="J306" s="25"/>
      <c r="K306" s="25"/>
      <c r="L306" s="25"/>
      <c r="M306" s="25"/>
      <c r="N306" s="25"/>
      <c r="O306" s="25"/>
      <c r="P306" s="25"/>
      <c r="Q306" s="25"/>
      <c r="R306" s="25"/>
      <c r="S306" s="25"/>
      <c r="T306" s="73"/>
    </row>
    <row r="307" spans="1:20" s="15" customFormat="1" ht="34.5" customHeight="1">
      <c r="A307" s="110"/>
      <c r="B307" s="111"/>
      <c r="C307" s="110"/>
      <c r="D307" s="23" t="s">
        <v>347</v>
      </c>
      <c r="E307" s="24" t="s">
        <v>75</v>
      </c>
      <c r="F307" s="24" t="s">
        <v>378</v>
      </c>
      <c r="G307" s="24" t="s">
        <v>63</v>
      </c>
      <c r="H307" s="25">
        <v>765.3</v>
      </c>
      <c r="I307" s="25">
        <v>765.3</v>
      </c>
      <c r="J307" s="25"/>
      <c r="K307" s="25"/>
      <c r="L307" s="25"/>
      <c r="M307" s="25"/>
      <c r="N307" s="25"/>
      <c r="O307" s="25"/>
      <c r="P307" s="25"/>
      <c r="Q307" s="25"/>
      <c r="R307" s="25"/>
      <c r="S307" s="25"/>
      <c r="T307" s="73"/>
    </row>
    <row r="308" spans="1:20" s="15" customFormat="1" ht="39" customHeight="1">
      <c r="A308" s="110"/>
      <c r="B308" s="10" t="s">
        <v>379</v>
      </c>
      <c r="C308" s="110"/>
      <c r="D308" s="23" t="s">
        <v>347</v>
      </c>
      <c r="E308" s="24" t="s">
        <v>75</v>
      </c>
      <c r="F308" s="24" t="s">
        <v>380</v>
      </c>
      <c r="G308" s="24" t="s">
        <v>141</v>
      </c>
      <c r="H308" s="25">
        <v>64.08</v>
      </c>
      <c r="I308" s="25">
        <v>54.96</v>
      </c>
      <c r="J308" s="25"/>
      <c r="K308" s="25"/>
      <c r="L308" s="25"/>
      <c r="M308" s="25"/>
      <c r="N308" s="25"/>
      <c r="O308" s="25"/>
      <c r="P308" s="25"/>
      <c r="Q308" s="25"/>
      <c r="R308" s="25"/>
      <c r="S308" s="25"/>
      <c r="T308" s="75"/>
    </row>
    <row r="309" spans="1:20" s="15" customFormat="1" ht="33" customHeight="1">
      <c r="A309" s="110"/>
      <c r="B309" s="10" t="s">
        <v>381</v>
      </c>
      <c r="C309" s="110"/>
      <c r="D309" s="23" t="s">
        <v>347</v>
      </c>
      <c r="E309" s="24" t="s">
        <v>75</v>
      </c>
      <c r="F309" s="24" t="s">
        <v>382</v>
      </c>
      <c r="G309" s="24" t="s">
        <v>141</v>
      </c>
      <c r="H309" s="25">
        <v>36.5</v>
      </c>
      <c r="I309" s="25">
        <v>24.5</v>
      </c>
      <c r="J309" s="25"/>
      <c r="K309" s="25"/>
      <c r="L309" s="25"/>
      <c r="M309" s="25"/>
      <c r="N309" s="25"/>
      <c r="O309" s="25"/>
      <c r="P309" s="25"/>
      <c r="Q309" s="25"/>
      <c r="R309" s="25"/>
      <c r="S309" s="25"/>
      <c r="T309" s="75"/>
    </row>
    <row r="310" spans="1:20" s="15" customFormat="1" ht="27" customHeight="1">
      <c r="A310" s="110"/>
      <c r="B310" s="11" t="s">
        <v>383</v>
      </c>
      <c r="C310" s="110"/>
      <c r="D310" s="23" t="s">
        <v>347</v>
      </c>
      <c r="E310" s="24" t="s">
        <v>75</v>
      </c>
      <c r="F310" s="24" t="s">
        <v>384</v>
      </c>
      <c r="G310" s="24" t="s">
        <v>63</v>
      </c>
      <c r="H310" s="25">
        <v>130</v>
      </c>
      <c r="I310" s="25">
        <v>100</v>
      </c>
      <c r="J310" s="25"/>
      <c r="K310" s="25"/>
      <c r="L310" s="25"/>
      <c r="M310" s="25"/>
      <c r="N310" s="25"/>
      <c r="O310" s="25"/>
      <c r="P310" s="25"/>
      <c r="Q310" s="25"/>
      <c r="R310" s="25"/>
      <c r="S310" s="25"/>
      <c r="T310" s="73"/>
    </row>
    <row r="311" spans="1:20" s="15" customFormat="1" ht="39.75" customHeight="1">
      <c r="A311" s="110"/>
      <c r="B311" s="48" t="s">
        <v>663</v>
      </c>
      <c r="C311" s="110"/>
      <c r="D311" s="23" t="s">
        <v>347</v>
      </c>
      <c r="E311" s="24" t="s">
        <v>75</v>
      </c>
      <c r="F311" s="24" t="s">
        <v>662</v>
      </c>
      <c r="G311" s="24" t="s">
        <v>573</v>
      </c>
      <c r="H311" s="25"/>
      <c r="I311" s="25"/>
      <c r="J311" s="25"/>
      <c r="K311" s="25"/>
      <c r="L311" s="25">
        <v>757.60299999999995</v>
      </c>
      <c r="M311" s="25">
        <v>753.57308</v>
      </c>
      <c r="N311" s="25">
        <v>757.60299999999995</v>
      </c>
      <c r="O311" s="25">
        <v>753.57308</v>
      </c>
      <c r="P311" s="25">
        <v>757.60299999999995</v>
      </c>
      <c r="Q311" s="25">
        <v>753.57308</v>
      </c>
      <c r="R311" s="25">
        <v>757.60299999999995</v>
      </c>
      <c r="S311" s="25">
        <v>757.60299999999995</v>
      </c>
      <c r="T311" s="74" t="s">
        <v>755</v>
      </c>
    </row>
    <row r="312" spans="1:20" s="15" customFormat="1" ht="84" customHeight="1">
      <c r="A312" s="110"/>
      <c r="B312" s="48" t="s">
        <v>665</v>
      </c>
      <c r="C312" s="110"/>
      <c r="D312" s="23" t="s">
        <v>347</v>
      </c>
      <c r="E312" s="24" t="s">
        <v>75</v>
      </c>
      <c r="F312" s="24" t="s">
        <v>664</v>
      </c>
      <c r="G312" s="24" t="s">
        <v>584</v>
      </c>
      <c r="H312" s="25"/>
      <c r="I312" s="25"/>
      <c r="J312" s="25">
        <v>131.19999999999999</v>
      </c>
      <c r="K312" s="25">
        <v>131.19999999999999</v>
      </c>
      <c r="L312" s="25">
        <v>131.19999999999999</v>
      </c>
      <c r="M312" s="25">
        <v>131.19999999999999</v>
      </c>
      <c r="N312" s="25">
        <v>131.19999999999999</v>
      </c>
      <c r="O312" s="25">
        <v>131.19999999999999</v>
      </c>
      <c r="P312" s="25">
        <v>131.19999999999999</v>
      </c>
      <c r="Q312" s="25">
        <v>131.19999999999999</v>
      </c>
      <c r="R312" s="25">
        <v>441.964</v>
      </c>
      <c r="S312" s="25">
        <v>441.964</v>
      </c>
      <c r="T312" s="73"/>
    </row>
    <row r="313" spans="1:20" s="15" customFormat="1" ht="51.75" customHeight="1">
      <c r="A313" s="110"/>
      <c r="B313" s="11" t="s">
        <v>385</v>
      </c>
      <c r="C313" s="110"/>
      <c r="D313" s="23" t="s">
        <v>347</v>
      </c>
      <c r="E313" s="24" t="s">
        <v>75</v>
      </c>
      <c r="F313" s="24" t="s">
        <v>386</v>
      </c>
      <c r="G313" s="24" t="s">
        <v>573</v>
      </c>
      <c r="H313" s="25">
        <v>62.545000000000002</v>
      </c>
      <c r="I313" s="25">
        <v>62.545000000000002</v>
      </c>
      <c r="J313" s="25"/>
      <c r="K313" s="25"/>
      <c r="L313" s="25"/>
      <c r="M313" s="25"/>
      <c r="N313" s="25">
        <v>59.71</v>
      </c>
      <c r="O313" s="25">
        <v>59.71</v>
      </c>
      <c r="P313" s="25">
        <v>59.71</v>
      </c>
      <c r="Q313" s="25">
        <v>59.71</v>
      </c>
      <c r="R313" s="25">
        <v>59.71</v>
      </c>
      <c r="S313" s="25">
        <v>59.71</v>
      </c>
      <c r="T313" s="73"/>
    </row>
    <row r="314" spans="1:20" s="15" customFormat="1" ht="123.75" customHeight="1">
      <c r="A314" s="110"/>
      <c r="B314" s="48" t="s">
        <v>38</v>
      </c>
      <c r="C314" s="111"/>
      <c r="D314" s="23" t="s">
        <v>347</v>
      </c>
      <c r="E314" s="24" t="s">
        <v>75</v>
      </c>
      <c r="F314" s="24" t="s">
        <v>661</v>
      </c>
      <c r="G314" s="24" t="s">
        <v>570</v>
      </c>
      <c r="H314" s="25"/>
      <c r="I314" s="25"/>
      <c r="J314" s="25"/>
      <c r="K314" s="25"/>
      <c r="L314" s="25"/>
      <c r="M314" s="25"/>
      <c r="N314" s="25"/>
      <c r="O314" s="25"/>
      <c r="P314" s="25">
        <v>2.7808700000000002</v>
      </c>
      <c r="Q314" s="25">
        <v>2.7808700000000002</v>
      </c>
      <c r="R314" s="25"/>
      <c r="S314" s="25"/>
      <c r="T314" s="73"/>
    </row>
    <row r="315" spans="1:20" s="15" customFormat="1" ht="29.25" customHeight="1">
      <c r="A315" s="110"/>
      <c r="B315" s="48"/>
      <c r="C315" s="109" t="s">
        <v>457</v>
      </c>
      <c r="D315" s="23" t="s">
        <v>155</v>
      </c>
      <c r="E315" s="24"/>
      <c r="F315" s="24"/>
      <c r="G315" s="24"/>
      <c r="H315" s="25">
        <f t="shared" ref="H315" si="122">SUM(H316:H318)</f>
        <v>0</v>
      </c>
      <c r="I315" s="25">
        <f t="shared" ref="I315" si="123">SUM(I316:I318)</f>
        <v>0</v>
      </c>
      <c r="J315" s="25">
        <f t="shared" ref="J315:O315" si="124">SUM(J316:J318)</f>
        <v>0</v>
      </c>
      <c r="K315" s="25">
        <f t="shared" si="124"/>
        <v>0</v>
      </c>
      <c r="L315" s="25">
        <f t="shared" si="124"/>
        <v>242.25700000000001</v>
      </c>
      <c r="M315" s="25">
        <f t="shared" si="124"/>
        <v>48.792999999999999</v>
      </c>
      <c r="N315" s="25">
        <f t="shared" si="124"/>
        <v>331.25700000000001</v>
      </c>
      <c r="O315" s="25">
        <f t="shared" si="124"/>
        <v>288.15700000000004</v>
      </c>
      <c r="P315" s="25">
        <f>SUM(P316:P318)</f>
        <v>401.55700000000002</v>
      </c>
      <c r="Q315" s="25">
        <f>SUM(Q316:Q318)</f>
        <v>401.55700000000002</v>
      </c>
      <c r="R315" s="25">
        <f>SUM(R316:R318)</f>
        <v>90.793000000000006</v>
      </c>
      <c r="S315" s="25">
        <f t="shared" ref="S315" si="125">SUM(S316:S318)</f>
        <v>90.793000000000006</v>
      </c>
      <c r="T315" s="73"/>
    </row>
    <row r="316" spans="1:20" s="15" customFormat="1" ht="29.25" customHeight="1">
      <c r="A316" s="110"/>
      <c r="B316" s="48" t="s">
        <v>371</v>
      </c>
      <c r="C316" s="110"/>
      <c r="D316" s="23" t="s">
        <v>155</v>
      </c>
      <c r="E316" s="24" t="s">
        <v>75</v>
      </c>
      <c r="F316" s="24" t="s">
        <v>372</v>
      </c>
      <c r="G316" s="24" t="s">
        <v>83</v>
      </c>
      <c r="H316" s="25"/>
      <c r="I316" s="25"/>
      <c r="J316" s="25"/>
      <c r="K316" s="25"/>
      <c r="L316" s="25">
        <v>13.792999999999999</v>
      </c>
      <c r="M316" s="25">
        <v>13.792999999999999</v>
      </c>
      <c r="N316" s="25">
        <v>13.792999999999999</v>
      </c>
      <c r="O316" s="25">
        <v>13.792999999999999</v>
      </c>
      <c r="P316" s="25">
        <v>13.792999999999999</v>
      </c>
      <c r="Q316" s="25">
        <v>13.792999999999999</v>
      </c>
      <c r="R316" s="25">
        <v>13.792999999999999</v>
      </c>
      <c r="S316" s="25">
        <v>13.792999999999999</v>
      </c>
      <c r="T316" s="73"/>
    </row>
    <row r="317" spans="1:20" s="15" customFormat="1" ht="48.75" customHeight="1">
      <c r="A317" s="110"/>
      <c r="B317" s="48" t="s">
        <v>663</v>
      </c>
      <c r="C317" s="110"/>
      <c r="D317" s="23" t="s">
        <v>155</v>
      </c>
      <c r="E317" s="24" t="s">
        <v>75</v>
      </c>
      <c r="F317" s="24" t="s">
        <v>662</v>
      </c>
      <c r="G317" s="24" t="s">
        <v>584</v>
      </c>
      <c r="H317" s="25"/>
      <c r="I317" s="25"/>
      <c r="J317" s="25"/>
      <c r="K317" s="25"/>
      <c r="L317" s="25">
        <v>77</v>
      </c>
      <c r="M317" s="25"/>
      <c r="N317" s="25">
        <v>77</v>
      </c>
      <c r="O317" s="25">
        <v>77</v>
      </c>
      <c r="P317" s="25">
        <v>77</v>
      </c>
      <c r="Q317" s="25">
        <v>77</v>
      </c>
      <c r="R317" s="25">
        <v>77</v>
      </c>
      <c r="S317" s="25">
        <v>77</v>
      </c>
      <c r="T317" s="73"/>
    </row>
    <row r="318" spans="1:20" s="15" customFormat="1" ht="84" customHeight="1">
      <c r="A318" s="110"/>
      <c r="B318" s="48" t="s">
        <v>665</v>
      </c>
      <c r="C318" s="111"/>
      <c r="D318" s="23" t="s">
        <v>155</v>
      </c>
      <c r="E318" s="24" t="s">
        <v>75</v>
      </c>
      <c r="F318" s="24" t="s">
        <v>664</v>
      </c>
      <c r="G318" s="24" t="s">
        <v>584</v>
      </c>
      <c r="H318" s="25"/>
      <c r="I318" s="25"/>
      <c r="J318" s="25"/>
      <c r="K318" s="25"/>
      <c r="L318" s="25">
        <v>151.464</v>
      </c>
      <c r="M318" s="25">
        <v>35</v>
      </c>
      <c r="N318" s="25">
        <v>240.464</v>
      </c>
      <c r="O318" s="25">
        <v>197.364</v>
      </c>
      <c r="P318" s="25">
        <v>310.76400000000001</v>
      </c>
      <c r="Q318" s="25">
        <v>310.76400000000001</v>
      </c>
      <c r="R318" s="25"/>
      <c r="S318" s="25"/>
      <c r="T318" s="73"/>
    </row>
    <row r="319" spans="1:20" s="15" customFormat="1" ht="18" customHeight="1">
      <c r="A319" s="110"/>
      <c r="B319" s="70"/>
      <c r="C319" s="109" t="s">
        <v>132</v>
      </c>
      <c r="D319" s="23" t="s">
        <v>59</v>
      </c>
      <c r="E319" s="24"/>
      <c r="F319" s="24"/>
      <c r="G319" s="24"/>
      <c r="H319" s="25">
        <f>H320+H321</f>
        <v>100</v>
      </c>
      <c r="I319" s="25">
        <f t="shared" ref="I319:S319" si="126">I320+I321</f>
        <v>0</v>
      </c>
      <c r="J319" s="25">
        <f t="shared" si="126"/>
        <v>0</v>
      </c>
      <c r="K319" s="25">
        <f t="shared" si="126"/>
        <v>0</v>
      </c>
      <c r="L319" s="25">
        <f t="shared" si="126"/>
        <v>100</v>
      </c>
      <c r="M319" s="25">
        <f t="shared" si="126"/>
        <v>100</v>
      </c>
      <c r="N319" s="25">
        <f t="shared" si="126"/>
        <v>100</v>
      </c>
      <c r="O319" s="25">
        <f t="shared" si="126"/>
        <v>100</v>
      </c>
      <c r="P319" s="25">
        <f t="shared" si="126"/>
        <v>100</v>
      </c>
      <c r="Q319" s="25">
        <f t="shared" si="126"/>
        <v>100</v>
      </c>
      <c r="R319" s="25">
        <f>R320+R321</f>
        <v>100</v>
      </c>
      <c r="S319" s="25">
        <f t="shared" si="126"/>
        <v>100</v>
      </c>
      <c r="T319" s="73"/>
    </row>
    <row r="320" spans="1:20" s="15" customFormat="1" ht="42.75" customHeight="1">
      <c r="A320" s="110"/>
      <c r="B320" s="11" t="s">
        <v>369</v>
      </c>
      <c r="C320" s="110"/>
      <c r="D320" s="23" t="s">
        <v>59</v>
      </c>
      <c r="E320" s="24" t="s">
        <v>75</v>
      </c>
      <c r="F320" s="24" t="s">
        <v>370</v>
      </c>
      <c r="G320" s="24" t="s">
        <v>63</v>
      </c>
      <c r="H320" s="25">
        <v>100</v>
      </c>
      <c r="I320" s="25">
        <v>0</v>
      </c>
      <c r="J320" s="25"/>
      <c r="K320" s="25"/>
      <c r="L320" s="25"/>
      <c r="M320" s="25"/>
      <c r="N320" s="25"/>
      <c r="O320" s="25"/>
      <c r="P320" s="25"/>
      <c r="Q320" s="25"/>
      <c r="R320" s="25"/>
      <c r="S320" s="25"/>
      <c r="T320" s="75"/>
    </row>
    <row r="321" spans="1:20" s="15" customFormat="1" ht="39.75" customHeight="1">
      <c r="A321" s="111"/>
      <c r="B321" s="70" t="s">
        <v>667</v>
      </c>
      <c r="C321" s="111"/>
      <c r="D321" s="23" t="s">
        <v>59</v>
      </c>
      <c r="E321" s="24" t="s">
        <v>75</v>
      </c>
      <c r="F321" s="24" t="s">
        <v>666</v>
      </c>
      <c r="G321" s="24" t="s">
        <v>573</v>
      </c>
      <c r="H321" s="25"/>
      <c r="I321" s="25"/>
      <c r="J321" s="25"/>
      <c r="K321" s="25"/>
      <c r="L321" s="25">
        <v>100</v>
      </c>
      <c r="M321" s="25">
        <v>100</v>
      </c>
      <c r="N321" s="25">
        <v>100</v>
      </c>
      <c r="O321" s="25">
        <v>100</v>
      </c>
      <c r="P321" s="25">
        <v>100</v>
      </c>
      <c r="Q321" s="25">
        <v>100</v>
      </c>
      <c r="R321" s="25">
        <v>100</v>
      </c>
      <c r="S321" s="25">
        <v>100</v>
      </c>
      <c r="T321" s="73"/>
    </row>
    <row r="322" spans="1:20" s="15" customFormat="1" ht="12.75" customHeight="1">
      <c r="A322" s="109" t="s">
        <v>387</v>
      </c>
      <c r="B322" s="11"/>
      <c r="C322" s="11" t="s">
        <v>57</v>
      </c>
      <c r="D322" s="23"/>
      <c r="E322" s="24"/>
      <c r="F322" s="24"/>
      <c r="G322" s="24"/>
      <c r="H322" s="25">
        <f>H323+H331</f>
        <v>296.76</v>
      </c>
      <c r="I322" s="25">
        <f t="shared" ref="I322:O322" si="127">I323+I331</f>
        <v>243.55599999999998</v>
      </c>
      <c r="J322" s="25">
        <f t="shared" si="127"/>
        <v>6</v>
      </c>
      <c r="K322" s="25">
        <f t="shared" si="127"/>
        <v>6</v>
      </c>
      <c r="L322" s="25">
        <f t="shared" si="127"/>
        <v>65</v>
      </c>
      <c r="M322" s="25">
        <f t="shared" si="127"/>
        <v>28</v>
      </c>
      <c r="N322" s="25">
        <f t="shared" si="127"/>
        <v>106</v>
      </c>
      <c r="O322" s="25">
        <f t="shared" si="127"/>
        <v>106</v>
      </c>
      <c r="P322" s="25">
        <f>P323+P331</f>
        <v>146</v>
      </c>
      <c r="Q322" s="25">
        <f>Q323+Q331</f>
        <v>146</v>
      </c>
      <c r="R322" s="25">
        <f>R323+R331</f>
        <v>146</v>
      </c>
      <c r="S322" s="25">
        <f t="shared" ref="S322" si="128">S323+S331</f>
        <v>146</v>
      </c>
      <c r="T322" s="73"/>
    </row>
    <row r="323" spans="1:20" s="15" customFormat="1" ht="38.25" customHeight="1">
      <c r="A323" s="110"/>
      <c r="B323" s="11"/>
      <c r="C323" s="109" t="s">
        <v>350</v>
      </c>
      <c r="D323" s="23" t="s">
        <v>347</v>
      </c>
      <c r="E323" s="24"/>
      <c r="F323" s="24"/>
      <c r="G323" s="24"/>
      <c r="H323" s="25">
        <f>SUM(H324:H330)</f>
        <v>296.76</v>
      </c>
      <c r="I323" s="25">
        <f>SUM(I324:I330)</f>
        <v>243.55599999999998</v>
      </c>
      <c r="J323" s="25">
        <f t="shared" ref="J323:O323" si="129">SUM(J324:J330)</f>
        <v>6</v>
      </c>
      <c r="K323" s="25">
        <f t="shared" si="129"/>
        <v>6</v>
      </c>
      <c r="L323" s="25">
        <f t="shared" si="129"/>
        <v>6</v>
      </c>
      <c r="M323" s="25">
        <f t="shared" si="129"/>
        <v>6</v>
      </c>
      <c r="N323" s="25">
        <f t="shared" si="129"/>
        <v>6</v>
      </c>
      <c r="O323" s="25">
        <f t="shared" si="129"/>
        <v>6</v>
      </c>
      <c r="P323" s="25">
        <f>SUM(P324:P330)</f>
        <v>6</v>
      </c>
      <c r="Q323" s="25">
        <f>SUM(Q324:Q330)</f>
        <v>6</v>
      </c>
      <c r="R323" s="25">
        <f t="shared" ref="R323:S323" si="130">SUM(R324:R330)</f>
        <v>66</v>
      </c>
      <c r="S323" s="25">
        <f t="shared" si="130"/>
        <v>66</v>
      </c>
      <c r="T323" s="73"/>
    </row>
    <row r="324" spans="1:20" s="15" customFormat="1" ht="66">
      <c r="A324" s="110"/>
      <c r="B324" s="11" t="s">
        <v>388</v>
      </c>
      <c r="C324" s="110"/>
      <c r="D324" s="23" t="s">
        <v>347</v>
      </c>
      <c r="E324" s="24" t="s">
        <v>75</v>
      </c>
      <c r="F324" s="24" t="s">
        <v>389</v>
      </c>
      <c r="G324" s="24" t="s">
        <v>63</v>
      </c>
      <c r="H324" s="25">
        <v>100</v>
      </c>
      <c r="I324" s="25">
        <v>65.055999999999997</v>
      </c>
      <c r="J324" s="25"/>
      <c r="K324" s="25"/>
      <c r="L324" s="25"/>
      <c r="M324" s="25"/>
      <c r="N324" s="25"/>
      <c r="O324" s="25"/>
      <c r="P324" s="25"/>
      <c r="Q324" s="25"/>
      <c r="R324" s="25"/>
      <c r="S324" s="25"/>
      <c r="T324" s="75"/>
    </row>
    <row r="325" spans="1:20" s="15" customFormat="1" ht="52.8">
      <c r="A325" s="110"/>
      <c r="B325" s="11" t="s">
        <v>390</v>
      </c>
      <c r="C325" s="110"/>
      <c r="D325" s="23" t="s">
        <v>347</v>
      </c>
      <c r="E325" s="24" t="s">
        <v>75</v>
      </c>
      <c r="F325" s="24" t="s">
        <v>391</v>
      </c>
      <c r="G325" s="24" t="s">
        <v>63</v>
      </c>
      <c r="H325" s="25">
        <v>50</v>
      </c>
      <c r="I325" s="25">
        <v>50</v>
      </c>
      <c r="J325" s="25"/>
      <c r="K325" s="25"/>
      <c r="L325" s="25"/>
      <c r="M325" s="25"/>
      <c r="N325" s="25"/>
      <c r="O325" s="25"/>
      <c r="P325" s="25"/>
      <c r="Q325" s="25"/>
      <c r="R325" s="25"/>
      <c r="S325" s="25"/>
      <c r="T325" s="73"/>
    </row>
    <row r="326" spans="1:20" s="15" customFormat="1" ht="66">
      <c r="A326" s="110"/>
      <c r="B326" s="11" t="s">
        <v>392</v>
      </c>
      <c r="C326" s="110"/>
      <c r="D326" s="23" t="s">
        <v>347</v>
      </c>
      <c r="E326" s="24" t="s">
        <v>75</v>
      </c>
      <c r="F326" s="24" t="s">
        <v>393</v>
      </c>
      <c r="G326" s="24" t="s">
        <v>584</v>
      </c>
      <c r="H326" s="25">
        <v>66</v>
      </c>
      <c r="I326" s="25">
        <v>62</v>
      </c>
      <c r="J326" s="25">
        <v>6</v>
      </c>
      <c r="K326" s="25">
        <v>6</v>
      </c>
      <c r="L326" s="25">
        <v>6</v>
      </c>
      <c r="M326" s="25">
        <v>6</v>
      </c>
      <c r="N326" s="25">
        <v>6</v>
      </c>
      <c r="O326" s="25">
        <v>6</v>
      </c>
      <c r="P326" s="25">
        <v>6</v>
      </c>
      <c r="Q326" s="25">
        <v>6</v>
      </c>
      <c r="R326" s="25">
        <v>66</v>
      </c>
      <c r="S326" s="25">
        <v>66</v>
      </c>
      <c r="T326" s="75"/>
    </row>
    <row r="327" spans="1:20" s="15" customFormat="1" ht="39.6">
      <c r="A327" s="110"/>
      <c r="B327" s="11" t="s">
        <v>394</v>
      </c>
      <c r="C327" s="110"/>
      <c r="D327" s="23" t="s">
        <v>347</v>
      </c>
      <c r="E327" s="24" t="s">
        <v>75</v>
      </c>
      <c r="F327" s="24" t="s">
        <v>395</v>
      </c>
      <c r="G327" s="24" t="s">
        <v>141</v>
      </c>
      <c r="H327" s="25">
        <v>50</v>
      </c>
      <c r="I327" s="25">
        <v>50</v>
      </c>
      <c r="J327" s="25"/>
      <c r="K327" s="25"/>
      <c r="L327" s="25"/>
      <c r="M327" s="25"/>
      <c r="N327" s="25"/>
      <c r="O327" s="25"/>
      <c r="P327" s="25"/>
      <c r="Q327" s="25"/>
      <c r="R327" s="25"/>
      <c r="S327" s="25"/>
      <c r="T327" s="73"/>
    </row>
    <row r="328" spans="1:20" s="15" customFormat="1" ht="52.8">
      <c r="A328" s="110"/>
      <c r="B328" s="11" t="s">
        <v>396</v>
      </c>
      <c r="C328" s="110"/>
      <c r="D328" s="23" t="s">
        <v>347</v>
      </c>
      <c r="E328" s="24" t="s">
        <v>75</v>
      </c>
      <c r="F328" s="24" t="s">
        <v>397</v>
      </c>
      <c r="G328" s="24" t="s">
        <v>141</v>
      </c>
      <c r="H328" s="25">
        <v>29.26</v>
      </c>
      <c r="I328" s="25">
        <v>15</v>
      </c>
      <c r="J328" s="25"/>
      <c r="K328" s="25"/>
      <c r="L328" s="25"/>
      <c r="M328" s="25"/>
      <c r="N328" s="25"/>
      <c r="O328" s="25"/>
      <c r="P328" s="25"/>
      <c r="Q328" s="25"/>
      <c r="R328" s="25"/>
      <c r="S328" s="25"/>
      <c r="T328" s="75"/>
    </row>
    <row r="329" spans="1:20" s="15" customFormat="1" ht="79.2">
      <c r="A329" s="110"/>
      <c r="B329" s="11" t="s">
        <v>398</v>
      </c>
      <c r="C329" s="110"/>
      <c r="D329" s="23" t="s">
        <v>347</v>
      </c>
      <c r="E329" s="24" t="s">
        <v>75</v>
      </c>
      <c r="F329" s="24" t="s">
        <v>399</v>
      </c>
      <c r="G329" s="24" t="s">
        <v>63</v>
      </c>
      <c r="H329" s="25">
        <v>1</v>
      </c>
      <c r="I329" s="25">
        <v>1</v>
      </c>
      <c r="J329" s="25"/>
      <c r="K329" s="25"/>
      <c r="L329" s="25"/>
      <c r="M329" s="25"/>
      <c r="N329" s="25"/>
      <c r="O329" s="25"/>
      <c r="P329" s="25"/>
      <c r="Q329" s="25"/>
      <c r="R329" s="25"/>
      <c r="S329" s="25"/>
      <c r="T329" s="73"/>
    </row>
    <row r="330" spans="1:20" s="15" customFormat="1" ht="66">
      <c r="A330" s="110"/>
      <c r="B330" s="11" t="s">
        <v>400</v>
      </c>
      <c r="C330" s="111"/>
      <c r="D330" s="23" t="s">
        <v>347</v>
      </c>
      <c r="E330" s="24" t="s">
        <v>75</v>
      </c>
      <c r="F330" s="24" t="s">
        <v>401</v>
      </c>
      <c r="G330" s="24" t="s">
        <v>63</v>
      </c>
      <c r="H330" s="25">
        <v>0.5</v>
      </c>
      <c r="I330" s="25">
        <v>0.5</v>
      </c>
      <c r="J330" s="25"/>
      <c r="K330" s="25"/>
      <c r="L330" s="25"/>
      <c r="M330" s="25"/>
      <c r="N330" s="25"/>
      <c r="O330" s="25"/>
      <c r="P330" s="25"/>
      <c r="Q330" s="25"/>
      <c r="R330" s="25"/>
      <c r="S330" s="25"/>
      <c r="T330" s="73"/>
    </row>
    <row r="331" spans="1:20" s="15" customFormat="1" ht="29.25" customHeight="1">
      <c r="A331" s="110"/>
      <c r="B331" s="48"/>
      <c r="C331" s="109" t="s">
        <v>457</v>
      </c>
      <c r="D331" s="23" t="s">
        <v>155</v>
      </c>
      <c r="E331" s="24"/>
      <c r="F331" s="24"/>
      <c r="G331" s="24"/>
      <c r="H331" s="25">
        <f t="shared" ref="H331" si="131">SUM(H332:H334)</f>
        <v>0</v>
      </c>
      <c r="I331" s="25">
        <f t="shared" ref="I331" si="132">SUM(I332:I334)</f>
        <v>0</v>
      </c>
      <c r="J331" s="25">
        <f t="shared" ref="J331:O331" si="133">SUM(J332:J334)</f>
        <v>0</v>
      </c>
      <c r="K331" s="25">
        <f t="shared" si="133"/>
        <v>0</v>
      </c>
      <c r="L331" s="25">
        <f t="shared" si="133"/>
        <v>59</v>
      </c>
      <c r="M331" s="25">
        <f t="shared" si="133"/>
        <v>22</v>
      </c>
      <c r="N331" s="25">
        <f t="shared" si="133"/>
        <v>100</v>
      </c>
      <c r="O331" s="25">
        <f t="shared" si="133"/>
        <v>100</v>
      </c>
      <c r="P331" s="25">
        <f>SUM(P332:P334)</f>
        <v>140</v>
      </c>
      <c r="Q331" s="25">
        <f>SUM(Q332:Q334)</f>
        <v>140</v>
      </c>
      <c r="R331" s="25">
        <f t="shared" ref="R331:S331" si="134">SUM(R332:R334)</f>
        <v>80</v>
      </c>
      <c r="S331" s="25">
        <f t="shared" si="134"/>
        <v>80</v>
      </c>
      <c r="T331" s="73"/>
    </row>
    <row r="332" spans="1:20" s="15" customFormat="1" ht="64.5" customHeight="1">
      <c r="A332" s="110"/>
      <c r="B332" s="48" t="s">
        <v>392</v>
      </c>
      <c r="C332" s="110"/>
      <c r="D332" s="23" t="s">
        <v>155</v>
      </c>
      <c r="E332" s="24" t="s">
        <v>75</v>
      </c>
      <c r="F332" s="24" t="s">
        <v>393</v>
      </c>
      <c r="G332" s="24" t="s">
        <v>584</v>
      </c>
      <c r="H332" s="25"/>
      <c r="I332" s="25"/>
      <c r="J332" s="25"/>
      <c r="K332" s="25"/>
      <c r="L332" s="25">
        <v>44</v>
      </c>
      <c r="M332" s="25">
        <v>12</v>
      </c>
      <c r="N332" s="25">
        <v>44</v>
      </c>
      <c r="O332" s="25">
        <v>44</v>
      </c>
      <c r="P332" s="25">
        <v>60</v>
      </c>
      <c r="Q332" s="25">
        <v>60</v>
      </c>
      <c r="R332" s="25"/>
      <c r="S332" s="25"/>
      <c r="T332" s="73"/>
    </row>
    <row r="333" spans="1:20" s="15" customFormat="1" ht="48.75" customHeight="1">
      <c r="A333" s="110"/>
      <c r="B333" s="48" t="s">
        <v>394</v>
      </c>
      <c r="C333" s="110"/>
      <c r="D333" s="23" t="s">
        <v>155</v>
      </c>
      <c r="E333" s="24" t="s">
        <v>75</v>
      </c>
      <c r="F333" s="24" t="s">
        <v>395</v>
      </c>
      <c r="G333" s="24" t="s">
        <v>584</v>
      </c>
      <c r="H333" s="25"/>
      <c r="I333" s="25"/>
      <c r="J333" s="25"/>
      <c r="K333" s="25"/>
      <c r="L333" s="25">
        <v>15</v>
      </c>
      <c r="M333" s="25">
        <v>10</v>
      </c>
      <c r="N333" s="25">
        <v>50</v>
      </c>
      <c r="O333" s="25">
        <v>50</v>
      </c>
      <c r="P333" s="25">
        <v>50</v>
      </c>
      <c r="Q333" s="25">
        <v>50</v>
      </c>
      <c r="R333" s="25">
        <v>50</v>
      </c>
      <c r="S333" s="25">
        <v>50</v>
      </c>
      <c r="T333" s="73"/>
    </row>
    <row r="334" spans="1:20" s="15" customFormat="1" ht="53.25" customHeight="1">
      <c r="A334" s="111"/>
      <c r="B334" s="48" t="s">
        <v>396</v>
      </c>
      <c r="C334" s="111"/>
      <c r="D334" s="23" t="s">
        <v>155</v>
      </c>
      <c r="E334" s="24" t="s">
        <v>75</v>
      </c>
      <c r="F334" s="24" t="s">
        <v>397</v>
      </c>
      <c r="G334" s="24" t="s">
        <v>584</v>
      </c>
      <c r="H334" s="25"/>
      <c r="I334" s="25"/>
      <c r="J334" s="25"/>
      <c r="K334" s="25"/>
      <c r="L334" s="25"/>
      <c r="M334" s="25"/>
      <c r="N334" s="25">
        <v>6</v>
      </c>
      <c r="O334" s="25">
        <v>6</v>
      </c>
      <c r="P334" s="25">
        <v>30</v>
      </c>
      <c r="Q334" s="25">
        <v>30</v>
      </c>
      <c r="R334" s="25">
        <v>30</v>
      </c>
      <c r="S334" s="25">
        <v>30</v>
      </c>
      <c r="T334" s="73"/>
    </row>
    <row r="335" spans="1:20" s="22" customFormat="1" ht="24" customHeight="1">
      <c r="A335" s="133" t="s">
        <v>402</v>
      </c>
      <c r="B335" s="134"/>
      <c r="C335" s="17" t="s">
        <v>57</v>
      </c>
      <c r="D335" s="18"/>
      <c r="E335" s="18"/>
      <c r="F335" s="18"/>
      <c r="G335" s="18"/>
      <c r="H335" s="20">
        <f>H336</f>
        <v>19703.044000000002</v>
      </c>
      <c r="I335" s="20">
        <f>I336</f>
        <v>19580.824850000005</v>
      </c>
      <c r="J335" s="20">
        <f t="shared" ref="J335:O335" si="135">J336</f>
        <v>5332.1360000000004</v>
      </c>
      <c r="K335" s="20">
        <f t="shared" si="135"/>
        <v>5332.1360000000004</v>
      </c>
      <c r="L335" s="20">
        <f t="shared" si="135"/>
        <v>10019.849380000001</v>
      </c>
      <c r="M335" s="20">
        <f t="shared" si="135"/>
        <v>10019.849380000001</v>
      </c>
      <c r="N335" s="20">
        <f t="shared" si="135"/>
        <v>14628.60015</v>
      </c>
      <c r="O335" s="20">
        <f t="shared" si="135"/>
        <v>14628.60015</v>
      </c>
      <c r="P335" s="20">
        <f>P336</f>
        <v>20282.385490000001</v>
      </c>
      <c r="Q335" s="20">
        <f>Q336</f>
        <v>20199.292620000004</v>
      </c>
      <c r="R335" s="20">
        <f t="shared" ref="R335:S335" si="136">R336</f>
        <v>20999.902000000002</v>
      </c>
      <c r="S335" s="20">
        <f t="shared" si="136"/>
        <v>20999.902000000002</v>
      </c>
      <c r="T335" s="76"/>
    </row>
    <row r="336" spans="1:20" s="22" customFormat="1" ht="67.5" customHeight="1">
      <c r="A336" s="133"/>
      <c r="B336" s="134"/>
      <c r="C336" s="17" t="s">
        <v>403</v>
      </c>
      <c r="D336" s="18" t="s">
        <v>347</v>
      </c>
      <c r="E336" s="18"/>
      <c r="F336" s="18"/>
      <c r="G336" s="18"/>
      <c r="H336" s="19">
        <f t="shared" ref="H336:O336" si="137">H337+H339+H341+H343+H348+H351+H353+H346</f>
        <v>19703.044000000002</v>
      </c>
      <c r="I336" s="19">
        <f t="shared" si="137"/>
        <v>19580.824850000005</v>
      </c>
      <c r="J336" s="19">
        <f t="shared" si="137"/>
        <v>5332.1360000000004</v>
      </c>
      <c r="K336" s="19">
        <f t="shared" si="137"/>
        <v>5332.1360000000004</v>
      </c>
      <c r="L336" s="19">
        <f t="shared" si="137"/>
        <v>10019.849380000001</v>
      </c>
      <c r="M336" s="19">
        <f t="shared" si="137"/>
        <v>10019.849380000001</v>
      </c>
      <c r="N336" s="19">
        <f t="shared" si="137"/>
        <v>14628.60015</v>
      </c>
      <c r="O336" s="19">
        <f t="shared" si="137"/>
        <v>14628.60015</v>
      </c>
      <c r="P336" s="19">
        <f>P337+P339+P341+P343+P348+P351+P353+P346</f>
        <v>20282.385490000001</v>
      </c>
      <c r="Q336" s="19">
        <f t="shared" ref="Q336:S336" si="138">Q337+Q339+Q341+Q343+Q348+Q351+Q353+Q346</f>
        <v>20199.292620000004</v>
      </c>
      <c r="R336" s="19">
        <f t="shared" si="138"/>
        <v>20999.902000000002</v>
      </c>
      <c r="S336" s="19">
        <f t="shared" si="138"/>
        <v>20999.902000000002</v>
      </c>
      <c r="T336" s="76"/>
    </row>
    <row r="337" spans="1:20" s="15" customFormat="1" ht="21.75" customHeight="1">
      <c r="A337" s="109" t="s">
        <v>130</v>
      </c>
      <c r="B337" s="109" t="s">
        <v>30</v>
      </c>
      <c r="C337" s="11" t="s">
        <v>57</v>
      </c>
      <c r="D337" s="23"/>
      <c r="E337" s="23"/>
      <c r="F337" s="23"/>
      <c r="G337" s="23"/>
      <c r="H337" s="25">
        <f>H338</f>
        <v>64.3</v>
      </c>
      <c r="I337" s="25">
        <f>I338</f>
        <v>64.3</v>
      </c>
      <c r="J337" s="25">
        <f t="shared" ref="J337:O337" si="139">J338</f>
        <v>5.8</v>
      </c>
      <c r="K337" s="25">
        <f t="shared" si="139"/>
        <v>5.8</v>
      </c>
      <c r="L337" s="25">
        <f t="shared" si="139"/>
        <v>22.846779999999999</v>
      </c>
      <c r="M337" s="25">
        <f t="shared" si="139"/>
        <v>22.846779999999999</v>
      </c>
      <c r="N337" s="25">
        <f t="shared" si="139"/>
        <v>173.83899</v>
      </c>
      <c r="O337" s="25">
        <f t="shared" si="139"/>
        <v>173.83899</v>
      </c>
      <c r="P337" s="25">
        <f>P338</f>
        <v>319.44778000000002</v>
      </c>
      <c r="Q337" s="25">
        <f>Q338</f>
        <v>319.44778000000002</v>
      </c>
      <c r="R337" s="25">
        <f t="shared" ref="R337:S337" si="140">R338</f>
        <v>0</v>
      </c>
      <c r="S337" s="25">
        <f t="shared" si="140"/>
        <v>0</v>
      </c>
      <c r="T337" s="73"/>
    </row>
    <row r="338" spans="1:20" s="15" customFormat="1" ht="84.75" customHeight="1">
      <c r="A338" s="110"/>
      <c r="B338" s="111"/>
      <c r="C338" s="11" t="s">
        <v>403</v>
      </c>
      <c r="D338" s="23" t="s">
        <v>347</v>
      </c>
      <c r="E338" s="23" t="s">
        <v>64</v>
      </c>
      <c r="F338" s="23" t="s">
        <v>404</v>
      </c>
      <c r="G338" s="23" t="s">
        <v>570</v>
      </c>
      <c r="H338" s="25">
        <f>11.70067+52.59933</f>
        <v>64.3</v>
      </c>
      <c r="I338" s="25">
        <f>11.70067+52.59933</f>
        <v>64.3</v>
      </c>
      <c r="J338" s="25">
        <v>5.8</v>
      </c>
      <c r="K338" s="25">
        <v>5.8</v>
      </c>
      <c r="L338" s="25">
        <v>22.846779999999999</v>
      </c>
      <c r="M338" s="25">
        <v>22.846779999999999</v>
      </c>
      <c r="N338" s="25">
        <v>173.83899</v>
      </c>
      <c r="O338" s="25">
        <v>173.83899</v>
      </c>
      <c r="P338" s="25">
        <v>319.44778000000002</v>
      </c>
      <c r="Q338" s="25">
        <v>319.44778000000002</v>
      </c>
      <c r="R338" s="25"/>
      <c r="S338" s="25"/>
      <c r="T338" s="73"/>
    </row>
    <row r="339" spans="1:20" s="15" customFormat="1" ht="12.75" customHeight="1">
      <c r="A339" s="109" t="s">
        <v>135</v>
      </c>
      <c r="B339" s="109" t="s">
        <v>68</v>
      </c>
      <c r="C339" s="11" t="s">
        <v>57</v>
      </c>
      <c r="D339" s="23"/>
      <c r="E339" s="23"/>
      <c r="F339" s="23"/>
      <c r="G339" s="23"/>
      <c r="H339" s="25">
        <f>H340</f>
        <v>44.100999999999999</v>
      </c>
      <c r="I339" s="25">
        <f>I340</f>
        <v>44.100999999999999</v>
      </c>
      <c r="J339" s="25">
        <f t="shared" ref="J339:O339" si="141">J340</f>
        <v>0</v>
      </c>
      <c r="K339" s="25">
        <f t="shared" si="141"/>
        <v>0</v>
      </c>
      <c r="L339" s="25">
        <f t="shared" si="141"/>
        <v>10.460789999999999</v>
      </c>
      <c r="M339" s="25">
        <f t="shared" si="141"/>
        <v>10.460789999999999</v>
      </c>
      <c r="N339" s="25">
        <f t="shared" si="141"/>
        <v>34.700679999999998</v>
      </c>
      <c r="O339" s="25">
        <f t="shared" si="141"/>
        <v>34.700679999999998</v>
      </c>
      <c r="P339" s="25">
        <f>P340</f>
        <v>69.42371</v>
      </c>
      <c r="Q339" s="25">
        <f>Q340</f>
        <v>69.42371</v>
      </c>
      <c r="R339" s="25"/>
      <c r="S339" s="25"/>
      <c r="T339" s="73"/>
    </row>
    <row r="340" spans="1:20" s="15" customFormat="1" ht="39.6">
      <c r="A340" s="110"/>
      <c r="B340" s="111"/>
      <c r="C340" s="11" t="s">
        <v>403</v>
      </c>
      <c r="D340" s="23" t="s">
        <v>347</v>
      </c>
      <c r="E340" s="23" t="s">
        <v>64</v>
      </c>
      <c r="F340" s="23" t="s">
        <v>405</v>
      </c>
      <c r="G340" s="23" t="s">
        <v>570</v>
      </c>
      <c r="H340" s="25">
        <f>5.53787+38.56313</f>
        <v>44.100999999999999</v>
      </c>
      <c r="I340" s="25">
        <f>5.53787+38.56313</f>
        <v>44.100999999999999</v>
      </c>
      <c r="J340" s="25"/>
      <c r="K340" s="25"/>
      <c r="L340" s="25">
        <v>10.460789999999999</v>
      </c>
      <c r="M340" s="25">
        <v>10.460789999999999</v>
      </c>
      <c r="N340" s="25">
        <v>34.700679999999998</v>
      </c>
      <c r="O340" s="25">
        <v>34.700679999999998</v>
      </c>
      <c r="P340" s="25">
        <v>69.42371</v>
      </c>
      <c r="Q340" s="25">
        <v>69.42371</v>
      </c>
      <c r="R340" s="25"/>
      <c r="S340" s="25"/>
      <c r="T340" s="73"/>
    </row>
    <row r="341" spans="1:20" s="15" customFormat="1" ht="24" customHeight="1">
      <c r="A341" s="109" t="s">
        <v>138</v>
      </c>
      <c r="B341" s="109" t="s">
        <v>406</v>
      </c>
      <c r="C341" s="11" t="s">
        <v>57</v>
      </c>
      <c r="D341" s="23"/>
      <c r="E341" s="23"/>
      <c r="F341" s="23"/>
      <c r="G341" s="23"/>
      <c r="H341" s="25">
        <f>H342</f>
        <v>99</v>
      </c>
      <c r="I341" s="25">
        <f>I342</f>
        <v>99</v>
      </c>
      <c r="J341" s="25">
        <f t="shared" ref="J341:O341" si="142">J342</f>
        <v>0</v>
      </c>
      <c r="K341" s="25">
        <f t="shared" si="142"/>
        <v>0</v>
      </c>
      <c r="L341" s="25">
        <f t="shared" si="142"/>
        <v>0</v>
      </c>
      <c r="M341" s="25">
        <f t="shared" si="142"/>
        <v>0</v>
      </c>
      <c r="N341" s="25">
        <f t="shared" si="142"/>
        <v>0</v>
      </c>
      <c r="O341" s="25">
        <f t="shared" si="142"/>
        <v>0</v>
      </c>
      <c r="P341" s="25">
        <f>P342</f>
        <v>0</v>
      </c>
      <c r="Q341" s="25">
        <f>Q342</f>
        <v>0</v>
      </c>
      <c r="R341" s="25"/>
      <c r="S341" s="25"/>
      <c r="T341" s="73"/>
    </row>
    <row r="342" spans="1:20" s="15" customFormat="1" ht="106.5" customHeight="1">
      <c r="A342" s="110"/>
      <c r="B342" s="111"/>
      <c r="C342" s="11" t="s">
        <v>403</v>
      </c>
      <c r="D342" s="23" t="s">
        <v>347</v>
      </c>
      <c r="E342" s="23" t="s">
        <v>407</v>
      </c>
      <c r="F342" s="23" t="s">
        <v>408</v>
      </c>
      <c r="G342" s="23" t="s">
        <v>63</v>
      </c>
      <c r="H342" s="25">
        <v>99</v>
      </c>
      <c r="I342" s="25">
        <v>99</v>
      </c>
      <c r="J342" s="25"/>
      <c r="K342" s="25"/>
      <c r="L342" s="25"/>
      <c r="M342" s="25"/>
      <c r="N342" s="25"/>
      <c r="O342" s="25"/>
      <c r="P342" s="25"/>
      <c r="Q342" s="25"/>
      <c r="R342" s="25"/>
      <c r="S342" s="25"/>
      <c r="T342" s="73"/>
    </row>
    <row r="343" spans="1:20" s="15" customFormat="1" ht="12.75" customHeight="1">
      <c r="A343" s="109" t="s">
        <v>142</v>
      </c>
      <c r="B343" s="109" t="s">
        <v>40</v>
      </c>
      <c r="C343" s="11" t="s">
        <v>57</v>
      </c>
      <c r="D343" s="23"/>
      <c r="E343" s="23"/>
      <c r="F343" s="23"/>
      <c r="G343" s="23"/>
      <c r="H343" s="25">
        <f>H344+H345</f>
        <v>19270.012999999999</v>
      </c>
      <c r="I343" s="25">
        <f>I344+I345</f>
        <v>19148.843850000001</v>
      </c>
      <c r="J343" s="25">
        <f t="shared" ref="J343:O343" si="143">J344+J345</f>
        <v>5326.3360000000002</v>
      </c>
      <c r="K343" s="25">
        <f t="shared" si="143"/>
        <v>5326.3360000000002</v>
      </c>
      <c r="L343" s="25">
        <f t="shared" si="143"/>
        <v>9986.5418100000006</v>
      </c>
      <c r="M343" s="25">
        <f t="shared" si="143"/>
        <v>9986.5418100000006</v>
      </c>
      <c r="N343" s="25">
        <f t="shared" si="143"/>
        <v>14420.06048</v>
      </c>
      <c r="O343" s="25">
        <f t="shared" si="143"/>
        <v>14420.06048</v>
      </c>
      <c r="P343" s="25">
        <f>P344+P345</f>
        <v>19891.034359999998</v>
      </c>
      <c r="Q343" s="25">
        <f>Q344+Q345</f>
        <v>19807.941490000001</v>
      </c>
      <c r="R343" s="25">
        <f t="shared" ref="R343:S343" si="144">R344+R345</f>
        <v>20999.902000000002</v>
      </c>
      <c r="S343" s="25">
        <f t="shared" si="144"/>
        <v>20999.902000000002</v>
      </c>
      <c r="T343" s="73"/>
    </row>
    <row r="344" spans="1:20" s="15" customFormat="1" ht="45" customHeight="1">
      <c r="A344" s="110"/>
      <c r="B344" s="110"/>
      <c r="C344" s="109" t="s">
        <v>403</v>
      </c>
      <c r="D344" s="23" t="s">
        <v>347</v>
      </c>
      <c r="E344" s="23" t="s">
        <v>64</v>
      </c>
      <c r="F344" s="23" t="s">
        <v>409</v>
      </c>
      <c r="G344" s="23" t="s">
        <v>570</v>
      </c>
      <c r="H344" s="25">
        <v>7801.58</v>
      </c>
      <c r="I344" s="25">
        <v>7680.4108500000002</v>
      </c>
      <c r="J344" s="25">
        <v>1961.336</v>
      </c>
      <c r="K344" s="25">
        <v>1961.336</v>
      </c>
      <c r="L344" s="25">
        <v>3621.5418100000002</v>
      </c>
      <c r="M344" s="25">
        <v>3621.5418100000002</v>
      </c>
      <c r="N344" s="25">
        <v>5125.0604800000001</v>
      </c>
      <c r="O344" s="25">
        <v>5125.0604800000001</v>
      </c>
      <c r="P344" s="25">
        <v>7479.9813599999998</v>
      </c>
      <c r="Q344" s="25">
        <v>7396.8884900000003</v>
      </c>
      <c r="R344" s="25">
        <v>8431.0630000000001</v>
      </c>
      <c r="S344" s="25">
        <v>8431.0630000000001</v>
      </c>
      <c r="T344" s="75" t="s">
        <v>755</v>
      </c>
    </row>
    <row r="345" spans="1:20" s="15" customFormat="1" ht="19.5" customHeight="1">
      <c r="A345" s="110"/>
      <c r="B345" s="111"/>
      <c r="C345" s="111"/>
      <c r="D345" s="23" t="s">
        <v>347</v>
      </c>
      <c r="E345" s="23" t="s">
        <v>407</v>
      </c>
      <c r="F345" s="23" t="s">
        <v>409</v>
      </c>
      <c r="G345" s="23" t="s">
        <v>571</v>
      </c>
      <c r="H345" s="25">
        <v>11468.433000000001</v>
      </c>
      <c r="I345" s="25">
        <v>11468.433000000001</v>
      </c>
      <c r="J345" s="25">
        <v>3365</v>
      </c>
      <c r="K345" s="25">
        <v>3365</v>
      </c>
      <c r="L345" s="25">
        <v>6365</v>
      </c>
      <c r="M345" s="25">
        <v>6365</v>
      </c>
      <c r="N345" s="25">
        <v>9295</v>
      </c>
      <c r="O345" s="25">
        <v>9295</v>
      </c>
      <c r="P345" s="25">
        <v>12411.053</v>
      </c>
      <c r="Q345" s="25">
        <v>12411.053</v>
      </c>
      <c r="R345" s="25">
        <v>12568.839</v>
      </c>
      <c r="S345" s="25">
        <v>12568.839</v>
      </c>
      <c r="T345" s="73"/>
    </row>
    <row r="346" spans="1:20" s="15" customFormat="1" ht="19.5" customHeight="1">
      <c r="A346" s="109" t="s">
        <v>144</v>
      </c>
      <c r="B346" s="109" t="s">
        <v>38</v>
      </c>
      <c r="C346" s="48" t="s">
        <v>57</v>
      </c>
      <c r="D346" s="23"/>
      <c r="E346" s="23"/>
      <c r="F346" s="23"/>
      <c r="G346" s="23"/>
      <c r="H346" s="25">
        <f>H347</f>
        <v>0</v>
      </c>
      <c r="I346" s="25">
        <f t="shared" ref="I346:S346" si="145">I347</f>
        <v>0</v>
      </c>
      <c r="J346" s="25">
        <f t="shared" si="145"/>
        <v>0</v>
      </c>
      <c r="K346" s="25">
        <f t="shared" si="145"/>
        <v>0</v>
      </c>
      <c r="L346" s="25">
        <f t="shared" si="145"/>
        <v>0</v>
      </c>
      <c r="M346" s="25">
        <f t="shared" si="145"/>
        <v>0</v>
      </c>
      <c r="N346" s="25">
        <f t="shared" si="145"/>
        <v>0</v>
      </c>
      <c r="O346" s="25">
        <f t="shared" si="145"/>
        <v>0</v>
      </c>
      <c r="P346" s="25">
        <f t="shared" si="145"/>
        <v>2.4796399999999998</v>
      </c>
      <c r="Q346" s="25">
        <f t="shared" si="145"/>
        <v>2.4796399999999998</v>
      </c>
      <c r="R346" s="25">
        <f t="shared" si="145"/>
        <v>0</v>
      </c>
      <c r="S346" s="25">
        <f t="shared" si="145"/>
        <v>0</v>
      </c>
      <c r="T346" s="73"/>
    </row>
    <row r="347" spans="1:20" s="15" customFormat="1" ht="99" customHeight="1">
      <c r="A347" s="110"/>
      <c r="B347" s="110"/>
      <c r="C347" s="49" t="s">
        <v>403</v>
      </c>
      <c r="D347" s="23" t="s">
        <v>347</v>
      </c>
      <c r="E347" s="23" t="s">
        <v>64</v>
      </c>
      <c r="F347" s="23" t="s">
        <v>668</v>
      </c>
      <c r="G347" s="23" t="s">
        <v>570</v>
      </c>
      <c r="H347" s="25"/>
      <c r="I347" s="25"/>
      <c r="J347" s="25"/>
      <c r="K347" s="25"/>
      <c r="L347" s="25"/>
      <c r="M347" s="25"/>
      <c r="N347" s="25"/>
      <c r="O347" s="25"/>
      <c r="P347" s="25">
        <v>2.4796399999999998</v>
      </c>
      <c r="Q347" s="25">
        <v>2.4796399999999998</v>
      </c>
      <c r="R347" s="25"/>
      <c r="S347" s="25"/>
      <c r="T347" s="75"/>
    </row>
    <row r="348" spans="1:20" s="15" customFormat="1" ht="12.75" customHeight="1">
      <c r="A348" s="109" t="s">
        <v>146</v>
      </c>
      <c r="B348" s="109" t="s">
        <v>410</v>
      </c>
      <c r="C348" s="11" t="s">
        <v>57</v>
      </c>
      <c r="D348" s="23"/>
      <c r="E348" s="23"/>
      <c r="F348" s="23"/>
      <c r="G348" s="23"/>
      <c r="H348" s="25">
        <f>H349+H350</f>
        <v>40.94</v>
      </c>
      <c r="I348" s="25">
        <f>I349+I350</f>
        <v>39.89</v>
      </c>
      <c r="J348" s="25">
        <f t="shared" ref="J348:O348" si="146">J349+J350</f>
        <v>0</v>
      </c>
      <c r="K348" s="25">
        <f t="shared" si="146"/>
        <v>0</v>
      </c>
      <c r="L348" s="25">
        <f t="shared" si="146"/>
        <v>0</v>
      </c>
      <c r="M348" s="25">
        <f t="shared" si="146"/>
        <v>0</v>
      </c>
      <c r="N348" s="25">
        <f t="shared" si="146"/>
        <v>0</v>
      </c>
      <c r="O348" s="25">
        <f t="shared" si="146"/>
        <v>0</v>
      </c>
      <c r="P348" s="25">
        <f>P349+P350</f>
        <v>0</v>
      </c>
      <c r="Q348" s="25">
        <f>Q349+Q350</f>
        <v>0</v>
      </c>
      <c r="R348" s="25">
        <f t="shared" ref="R348:S348" si="147">R349+R350</f>
        <v>0</v>
      </c>
      <c r="S348" s="25">
        <f t="shared" si="147"/>
        <v>0</v>
      </c>
      <c r="T348" s="73"/>
    </row>
    <row r="349" spans="1:20" s="15" customFormat="1" ht="31.5" customHeight="1">
      <c r="A349" s="110"/>
      <c r="B349" s="110"/>
      <c r="C349" s="109" t="s">
        <v>403</v>
      </c>
      <c r="D349" s="23" t="s">
        <v>347</v>
      </c>
      <c r="E349" s="23" t="s">
        <v>411</v>
      </c>
      <c r="F349" s="23" t="s">
        <v>412</v>
      </c>
      <c r="G349" s="23" t="s">
        <v>140</v>
      </c>
      <c r="H349" s="25">
        <v>10.1</v>
      </c>
      <c r="I349" s="25">
        <v>9.0500000000000007</v>
      </c>
      <c r="J349" s="25"/>
      <c r="K349" s="25"/>
      <c r="L349" s="25"/>
      <c r="M349" s="25"/>
      <c r="N349" s="25"/>
      <c r="O349" s="25"/>
      <c r="P349" s="25"/>
      <c r="Q349" s="25"/>
      <c r="R349" s="25"/>
      <c r="S349" s="25"/>
      <c r="T349" s="75"/>
    </row>
    <row r="350" spans="1:20" s="15" customFormat="1" ht="23.25" customHeight="1">
      <c r="A350" s="110"/>
      <c r="B350" s="111"/>
      <c r="C350" s="111"/>
      <c r="D350" s="23" t="s">
        <v>347</v>
      </c>
      <c r="E350" s="23" t="s">
        <v>411</v>
      </c>
      <c r="F350" s="23" t="s">
        <v>412</v>
      </c>
      <c r="G350" s="23" t="s">
        <v>141</v>
      </c>
      <c r="H350" s="25">
        <v>30.84</v>
      </c>
      <c r="I350" s="25">
        <v>30.84</v>
      </c>
      <c r="J350" s="25"/>
      <c r="K350" s="25"/>
      <c r="L350" s="25"/>
      <c r="M350" s="25"/>
      <c r="N350" s="25"/>
      <c r="O350" s="25"/>
      <c r="P350" s="25"/>
      <c r="Q350" s="25"/>
      <c r="R350" s="25"/>
      <c r="S350" s="25"/>
      <c r="T350" s="73"/>
    </row>
    <row r="351" spans="1:20" s="15" customFormat="1" ht="12.75" customHeight="1">
      <c r="A351" s="109" t="s">
        <v>148</v>
      </c>
      <c r="B351" s="109" t="s">
        <v>413</v>
      </c>
      <c r="C351" s="11" t="s">
        <v>57</v>
      </c>
      <c r="D351" s="23"/>
      <c r="E351" s="23"/>
      <c r="F351" s="23"/>
      <c r="G351" s="23"/>
      <c r="H351" s="25">
        <f>H352</f>
        <v>183.7</v>
      </c>
      <c r="I351" s="25">
        <f>I352</f>
        <v>183.7</v>
      </c>
      <c r="J351" s="25">
        <f t="shared" ref="J351:O351" si="148">J352</f>
        <v>0</v>
      </c>
      <c r="K351" s="25">
        <f t="shared" si="148"/>
        <v>0</v>
      </c>
      <c r="L351" s="25">
        <f t="shared" si="148"/>
        <v>0</v>
      </c>
      <c r="M351" s="25">
        <f t="shared" si="148"/>
        <v>0</v>
      </c>
      <c r="N351" s="25">
        <f t="shared" si="148"/>
        <v>0</v>
      </c>
      <c r="O351" s="25">
        <f t="shared" si="148"/>
        <v>0</v>
      </c>
      <c r="P351" s="25">
        <f>P352</f>
        <v>0</v>
      </c>
      <c r="Q351" s="25">
        <f>Q352</f>
        <v>0</v>
      </c>
      <c r="R351" s="25"/>
      <c r="S351" s="25"/>
      <c r="T351" s="73"/>
    </row>
    <row r="352" spans="1:20" s="15" customFormat="1" ht="39.6">
      <c r="A352" s="110"/>
      <c r="B352" s="111"/>
      <c r="C352" s="11" t="s">
        <v>403</v>
      </c>
      <c r="D352" s="23" t="s">
        <v>347</v>
      </c>
      <c r="E352" s="23" t="s">
        <v>407</v>
      </c>
      <c r="F352" s="23" t="s">
        <v>414</v>
      </c>
      <c r="G352" s="23" t="s">
        <v>65</v>
      </c>
      <c r="H352" s="25">
        <v>183.7</v>
      </c>
      <c r="I352" s="25">
        <v>183.7</v>
      </c>
      <c r="J352" s="25"/>
      <c r="K352" s="25"/>
      <c r="L352" s="25"/>
      <c r="M352" s="25"/>
      <c r="N352" s="25"/>
      <c r="O352" s="25"/>
      <c r="P352" s="25"/>
      <c r="Q352" s="25"/>
      <c r="R352" s="25"/>
      <c r="S352" s="25"/>
      <c r="T352" s="73"/>
    </row>
    <row r="353" spans="1:20" s="15" customFormat="1" ht="18.75" customHeight="1">
      <c r="A353" s="109" t="s">
        <v>150</v>
      </c>
      <c r="B353" s="109" t="s">
        <v>415</v>
      </c>
      <c r="C353" s="11" t="s">
        <v>57</v>
      </c>
      <c r="D353" s="23"/>
      <c r="E353" s="23"/>
      <c r="F353" s="23"/>
      <c r="G353" s="23"/>
      <c r="H353" s="25">
        <f>H354</f>
        <v>0.99</v>
      </c>
      <c r="I353" s="25">
        <f>I354</f>
        <v>0.99</v>
      </c>
      <c r="J353" s="25"/>
      <c r="K353" s="25"/>
      <c r="L353" s="25"/>
      <c r="M353" s="25"/>
      <c r="N353" s="25"/>
      <c r="O353" s="25"/>
      <c r="P353" s="25"/>
      <c r="Q353" s="25"/>
      <c r="R353" s="25"/>
      <c r="S353" s="25"/>
      <c r="T353" s="73"/>
    </row>
    <row r="354" spans="1:20" s="15" customFormat="1" ht="73.5" customHeight="1">
      <c r="A354" s="110"/>
      <c r="B354" s="111"/>
      <c r="C354" s="11" t="s">
        <v>403</v>
      </c>
      <c r="D354" s="23" t="s">
        <v>347</v>
      </c>
      <c r="E354" s="23" t="s">
        <v>64</v>
      </c>
      <c r="F354" s="23" t="s">
        <v>416</v>
      </c>
      <c r="G354" s="23" t="s">
        <v>63</v>
      </c>
      <c r="H354" s="25">
        <v>0.99</v>
      </c>
      <c r="I354" s="25">
        <v>0.99</v>
      </c>
      <c r="J354" s="25"/>
      <c r="K354" s="25"/>
      <c r="L354" s="25"/>
      <c r="M354" s="25"/>
      <c r="N354" s="25"/>
      <c r="O354" s="25"/>
      <c r="P354" s="25"/>
      <c r="Q354" s="25"/>
      <c r="R354" s="25"/>
      <c r="S354" s="25"/>
      <c r="T354" s="73"/>
    </row>
    <row r="355" spans="1:20" s="22" customFormat="1" ht="27" customHeight="1">
      <c r="A355" s="154" t="s">
        <v>417</v>
      </c>
      <c r="B355" s="157"/>
      <c r="C355" s="17" t="s">
        <v>57</v>
      </c>
      <c r="D355" s="18"/>
      <c r="E355" s="18"/>
      <c r="F355" s="18"/>
      <c r="G355" s="18"/>
      <c r="H355" s="20">
        <f t="shared" ref="H355:O355" si="149">H357+H358</f>
        <v>1673.3</v>
      </c>
      <c r="I355" s="20">
        <f t="shared" si="149"/>
        <v>1659.9011</v>
      </c>
      <c r="J355" s="20">
        <f t="shared" si="149"/>
        <v>274.79046</v>
      </c>
      <c r="K355" s="20">
        <f t="shared" si="149"/>
        <v>273.75081</v>
      </c>
      <c r="L355" s="20">
        <f t="shared" si="149"/>
        <v>734.04831000000001</v>
      </c>
      <c r="M355" s="20">
        <f t="shared" si="149"/>
        <v>734.04745000000003</v>
      </c>
      <c r="N355" s="20">
        <f t="shared" si="149"/>
        <v>1157.3095699999999</v>
      </c>
      <c r="O355" s="20">
        <f t="shared" si="149"/>
        <v>1156.6877500000001</v>
      </c>
      <c r="P355" s="20">
        <f>P357+P358</f>
        <v>1602.2250000000001</v>
      </c>
      <c r="Q355" s="20">
        <f t="shared" ref="Q355:S355" si="150">Q357+Q358</f>
        <v>1596.79576</v>
      </c>
      <c r="R355" s="20">
        <f t="shared" si="150"/>
        <v>1714.1999999999998</v>
      </c>
      <c r="S355" s="20">
        <f t="shared" si="150"/>
        <v>1719.1999999999998</v>
      </c>
      <c r="T355" s="76"/>
    </row>
    <row r="356" spans="1:20" s="22" customFormat="1" ht="15.75" customHeight="1">
      <c r="A356" s="155"/>
      <c r="B356" s="158"/>
      <c r="C356" s="17" t="s">
        <v>250</v>
      </c>
      <c r="D356" s="18"/>
      <c r="E356" s="18"/>
      <c r="F356" s="18"/>
      <c r="G356" s="18"/>
      <c r="H356" s="19"/>
      <c r="I356" s="19"/>
      <c r="J356" s="19"/>
      <c r="K356" s="19"/>
      <c r="L356" s="19"/>
      <c r="M356" s="19"/>
      <c r="N356" s="19"/>
      <c r="O356" s="19"/>
      <c r="P356" s="19"/>
      <c r="Q356" s="19"/>
      <c r="R356" s="19"/>
      <c r="S356" s="19"/>
      <c r="T356" s="76"/>
    </row>
    <row r="357" spans="1:20" s="22" customFormat="1" ht="32.25" customHeight="1">
      <c r="A357" s="155"/>
      <c r="B357" s="158"/>
      <c r="C357" s="17" t="s">
        <v>346</v>
      </c>
      <c r="D357" s="26" t="s">
        <v>347</v>
      </c>
      <c r="E357" s="18"/>
      <c r="F357" s="18"/>
      <c r="G357" s="18"/>
      <c r="H357" s="19">
        <f>H359+H361</f>
        <v>1673.3</v>
      </c>
      <c r="I357" s="19">
        <f>I359+I361</f>
        <v>1659.9011</v>
      </c>
      <c r="J357" s="19">
        <f t="shared" ref="J357:O357" si="151">J359+J361</f>
        <v>274.79046</v>
      </c>
      <c r="K357" s="19">
        <f t="shared" si="151"/>
        <v>273.75081</v>
      </c>
      <c r="L357" s="19">
        <f t="shared" si="151"/>
        <v>724.04831000000001</v>
      </c>
      <c r="M357" s="19">
        <f t="shared" si="151"/>
        <v>724.04745000000003</v>
      </c>
      <c r="N357" s="19">
        <f t="shared" si="151"/>
        <v>1142.3095699999999</v>
      </c>
      <c r="O357" s="19">
        <f t="shared" si="151"/>
        <v>1141.6877500000001</v>
      </c>
      <c r="P357" s="19">
        <f>P359+P361</f>
        <v>1587.2250000000001</v>
      </c>
      <c r="Q357" s="19">
        <f>Q359+Q361</f>
        <v>1581.79576</v>
      </c>
      <c r="R357" s="19">
        <f t="shared" ref="R357:S357" si="152">R359+R361</f>
        <v>1699.1999999999998</v>
      </c>
      <c r="S357" s="19">
        <f t="shared" si="152"/>
        <v>1699.1999999999998</v>
      </c>
      <c r="T357" s="76"/>
    </row>
    <row r="358" spans="1:20" s="22" customFormat="1" ht="48.75" customHeight="1">
      <c r="A358" s="156"/>
      <c r="B358" s="159"/>
      <c r="C358" s="51" t="s">
        <v>132</v>
      </c>
      <c r="D358" s="26" t="s">
        <v>59</v>
      </c>
      <c r="E358" s="18"/>
      <c r="F358" s="18"/>
      <c r="G358" s="18"/>
      <c r="H358" s="19">
        <f>H364</f>
        <v>0</v>
      </c>
      <c r="I358" s="19">
        <f t="shared" ref="I358:S358" si="153">I364</f>
        <v>0</v>
      </c>
      <c r="J358" s="19">
        <f t="shared" si="153"/>
        <v>0</v>
      </c>
      <c r="K358" s="19">
        <f t="shared" si="153"/>
        <v>0</v>
      </c>
      <c r="L358" s="19">
        <f t="shared" si="153"/>
        <v>10</v>
      </c>
      <c r="M358" s="19">
        <f t="shared" si="153"/>
        <v>10</v>
      </c>
      <c r="N358" s="19">
        <f t="shared" si="153"/>
        <v>15</v>
      </c>
      <c r="O358" s="19">
        <f t="shared" si="153"/>
        <v>15</v>
      </c>
      <c r="P358" s="19">
        <f t="shared" si="153"/>
        <v>15</v>
      </c>
      <c r="Q358" s="19">
        <f t="shared" si="153"/>
        <v>15</v>
      </c>
      <c r="R358" s="19">
        <f t="shared" si="153"/>
        <v>15</v>
      </c>
      <c r="S358" s="19">
        <f t="shared" si="153"/>
        <v>20</v>
      </c>
      <c r="T358" s="76"/>
    </row>
    <row r="359" spans="1:20" s="15" customFormat="1" ht="19.5" customHeight="1">
      <c r="A359" s="109" t="s">
        <v>130</v>
      </c>
      <c r="B359" s="106" t="s">
        <v>40</v>
      </c>
      <c r="C359" s="11" t="s">
        <v>57</v>
      </c>
      <c r="D359" s="23"/>
      <c r="E359" s="23"/>
      <c r="F359" s="23"/>
      <c r="G359" s="23"/>
      <c r="H359" s="25">
        <f>H360</f>
        <v>1282.2483</v>
      </c>
      <c r="I359" s="25">
        <f>I360</f>
        <v>1282.2483</v>
      </c>
      <c r="J359" s="25">
        <f t="shared" ref="J359:O359" si="154">J360</f>
        <v>262.26646</v>
      </c>
      <c r="K359" s="25">
        <f t="shared" si="154"/>
        <v>262.26646</v>
      </c>
      <c r="L359" s="25">
        <f t="shared" si="154"/>
        <v>614.66777999999999</v>
      </c>
      <c r="M359" s="25">
        <f t="shared" si="154"/>
        <v>614.66709000000003</v>
      </c>
      <c r="N359" s="25">
        <f t="shared" si="154"/>
        <v>965.18912</v>
      </c>
      <c r="O359" s="25">
        <f t="shared" si="154"/>
        <v>965.18843000000004</v>
      </c>
      <c r="P359" s="25">
        <f>P360</f>
        <v>1364.2560000000001</v>
      </c>
      <c r="Q359" s="25">
        <f>Q360</f>
        <v>1364.2560000000001</v>
      </c>
      <c r="R359" s="25">
        <f t="shared" ref="R359:S359" si="155">R360</f>
        <v>1364.3</v>
      </c>
      <c r="S359" s="25">
        <f t="shared" si="155"/>
        <v>1364.3</v>
      </c>
      <c r="T359" s="73"/>
    </row>
    <row r="360" spans="1:20" s="15" customFormat="1" ht="37.5" customHeight="1">
      <c r="A360" s="110"/>
      <c r="B360" s="106"/>
      <c r="C360" s="11" t="s">
        <v>350</v>
      </c>
      <c r="D360" s="23" t="s">
        <v>347</v>
      </c>
      <c r="E360" s="23" t="s">
        <v>418</v>
      </c>
      <c r="F360" s="23" t="s">
        <v>419</v>
      </c>
      <c r="G360" s="23" t="s">
        <v>593</v>
      </c>
      <c r="H360" s="25">
        <v>1282.2483</v>
      </c>
      <c r="I360" s="25">
        <f>1282.2483</f>
        <v>1282.2483</v>
      </c>
      <c r="J360" s="25">
        <v>262.26646</v>
      </c>
      <c r="K360" s="25">
        <v>262.26646</v>
      </c>
      <c r="L360" s="25">
        <v>614.66777999999999</v>
      </c>
      <c r="M360" s="25">
        <v>614.66709000000003</v>
      </c>
      <c r="N360" s="25">
        <v>965.18912</v>
      </c>
      <c r="O360" s="25">
        <v>965.18843000000004</v>
      </c>
      <c r="P360" s="25">
        <v>1364.2560000000001</v>
      </c>
      <c r="Q360" s="25">
        <v>1364.2560000000001</v>
      </c>
      <c r="R360" s="25">
        <v>1364.3</v>
      </c>
      <c r="S360" s="25">
        <v>1364.3</v>
      </c>
      <c r="T360" s="73"/>
    </row>
    <row r="361" spans="1:20" s="15" customFormat="1" ht="21" customHeight="1">
      <c r="A361" s="109" t="s">
        <v>135</v>
      </c>
      <c r="B361" s="106" t="s">
        <v>40</v>
      </c>
      <c r="C361" s="11" t="s">
        <v>57</v>
      </c>
      <c r="D361" s="23"/>
      <c r="E361" s="23"/>
      <c r="F361" s="23"/>
      <c r="G361" s="23"/>
      <c r="H361" s="25">
        <f>H362</f>
        <v>391.05169999999998</v>
      </c>
      <c r="I361" s="25">
        <f>I362</f>
        <v>377.65280000000001</v>
      </c>
      <c r="J361" s="25">
        <f t="shared" ref="J361:O361" si="156">J362</f>
        <v>12.523999999999999</v>
      </c>
      <c r="K361" s="25">
        <f t="shared" si="156"/>
        <v>11.484349999999999</v>
      </c>
      <c r="L361" s="25">
        <f t="shared" si="156"/>
        <v>109.38052999999999</v>
      </c>
      <c r="M361" s="25">
        <f t="shared" si="156"/>
        <v>109.38036</v>
      </c>
      <c r="N361" s="25">
        <f t="shared" si="156"/>
        <v>177.12045000000001</v>
      </c>
      <c r="O361" s="25">
        <f t="shared" si="156"/>
        <v>176.49932000000001</v>
      </c>
      <c r="P361" s="25">
        <f>P362</f>
        <v>222.96899999999999</v>
      </c>
      <c r="Q361" s="25">
        <f>Q362</f>
        <v>217.53976</v>
      </c>
      <c r="R361" s="25">
        <f t="shared" ref="R361:S361" si="157">R362</f>
        <v>334.9</v>
      </c>
      <c r="S361" s="25">
        <f t="shared" si="157"/>
        <v>334.9</v>
      </c>
      <c r="T361" s="74"/>
    </row>
    <row r="362" spans="1:20" s="15" customFormat="1" ht="51" customHeight="1">
      <c r="A362" s="110"/>
      <c r="B362" s="106"/>
      <c r="C362" s="11" t="s">
        <v>350</v>
      </c>
      <c r="D362" s="23" t="s">
        <v>347</v>
      </c>
      <c r="E362" s="23" t="s">
        <v>418</v>
      </c>
      <c r="F362" s="23" t="s">
        <v>419</v>
      </c>
      <c r="G362" s="23" t="s">
        <v>584</v>
      </c>
      <c r="H362" s="25">
        <v>391.05169999999998</v>
      </c>
      <c r="I362" s="25">
        <v>377.65280000000001</v>
      </c>
      <c r="J362" s="25">
        <v>12.523999999999999</v>
      </c>
      <c r="K362" s="25">
        <v>11.484349999999999</v>
      </c>
      <c r="L362" s="25">
        <v>109.38052999999999</v>
      </c>
      <c r="M362" s="25">
        <v>109.38036</v>
      </c>
      <c r="N362" s="25">
        <v>177.12045000000001</v>
      </c>
      <c r="O362" s="25">
        <v>176.49932000000001</v>
      </c>
      <c r="P362" s="25">
        <v>222.96899999999999</v>
      </c>
      <c r="Q362" s="25">
        <v>217.53976</v>
      </c>
      <c r="R362" s="25">
        <v>334.9</v>
      </c>
      <c r="S362" s="25">
        <v>334.9</v>
      </c>
      <c r="T362" s="75" t="s">
        <v>755</v>
      </c>
    </row>
    <row r="363" spans="1:20" s="15" customFormat="1" ht="25.5" customHeight="1">
      <c r="A363" s="109" t="s">
        <v>670</v>
      </c>
      <c r="B363" s="112" t="s">
        <v>671</v>
      </c>
      <c r="C363" s="48" t="s">
        <v>57</v>
      </c>
      <c r="D363" s="23"/>
      <c r="E363" s="23"/>
      <c r="F363" s="23"/>
      <c r="G363" s="23"/>
      <c r="H363" s="25">
        <f t="shared" ref="H363:O363" si="158">H364</f>
        <v>0</v>
      </c>
      <c r="I363" s="25">
        <f t="shared" si="158"/>
        <v>0</v>
      </c>
      <c r="J363" s="25">
        <f t="shared" si="158"/>
        <v>0</v>
      </c>
      <c r="K363" s="25">
        <f t="shared" si="158"/>
        <v>0</v>
      </c>
      <c r="L363" s="25">
        <f t="shared" si="158"/>
        <v>10</v>
      </c>
      <c r="M363" s="25">
        <f t="shared" si="158"/>
        <v>10</v>
      </c>
      <c r="N363" s="25">
        <f t="shared" si="158"/>
        <v>15</v>
      </c>
      <c r="O363" s="25">
        <f t="shared" si="158"/>
        <v>15</v>
      </c>
      <c r="P363" s="25">
        <f>P364</f>
        <v>15</v>
      </c>
      <c r="Q363" s="25">
        <f>Q364</f>
        <v>15</v>
      </c>
      <c r="R363" s="25">
        <f t="shared" ref="R363:S363" si="159">R364</f>
        <v>15</v>
      </c>
      <c r="S363" s="25">
        <f t="shared" si="159"/>
        <v>20</v>
      </c>
      <c r="T363" s="75"/>
    </row>
    <row r="364" spans="1:20" s="15" customFormat="1" ht="60.75" customHeight="1">
      <c r="A364" s="110"/>
      <c r="B364" s="114"/>
      <c r="C364" s="48" t="s">
        <v>58</v>
      </c>
      <c r="D364" s="23" t="s">
        <v>59</v>
      </c>
      <c r="E364" s="23" t="s">
        <v>454</v>
      </c>
      <c r="F364" s="23" t="s">
        <v>669</v>
      </c>
      <c r="G364" s="23" t="s">
        <v>573</v>
      </c>
      <c r="H364" s="25"/>
      <c r="I364" s="25"/>
      <c r="J364" s="25"/>
      <c r="K364" s="25"/>
      <c r="L364" s="25">
        <v>10</v>
      </c>
      <c r="M364" s="25">
        <v>10</v>
      </c>
      <c r="N364" s="25">
        <v>15</v>
      </c>
      <c r="O364" s="25">
        <v>15</v>
      </c>
      <c r="P364" s="25">
        <v>15</v>
      </c>
      <c r="Q364" s="25">
        <v>15</v>
      </c>
      <c r="R364" s="25">
        <v>15</v>
      </c>
      <c r="S364" s="25">
        <v>20</v>
      </c>
      <c r="T364" s="75"/>
    </row>
    <row r="365" spans="1:20" s="22" customFormat="1" ht="27" customHeight="1">
      <c r="A365" s="136" t="s">
        <v>420</v>
      </c>
      <c r="B365" s="134"/>
      <c r="C365" s="17" t="s">
        <v>57</v>
      </c>
      <c r="D365" s="18"/>
      <c r="E365" s="18"/>
      <c r="F365" s="18"/>
      <c r="G365" s="18"/>
      <c r="H365" s="20">
        <f>H367</f>
        <v>3701.8591799999999</v>
      </c>
      <c r="I365" s="20">
        <f>I367</f>
        <v>3696.1704799999998</v>
      </c>
      <c r="J365" s="20">
        <f t="shared" ref="J365:O365" si="160">J367</f>
        <v>659.94299999999998</v>
      </c>
      <c r="K365" s="20">
        <f t="shared" si="160"/>
        <v>575.18961000000002</v>
      </c>
      <c r="L365" s="20">
        <f t="shared" si="160"/>
        <v>1579.5058799999999</v>
      </c>
      <c r="M365" s="20">
        <f t="shared" si="160"/>
        <v>1446.2834500000001</v>
      </c>
      <c r="N365" s="20">
        <f t="shared" si="160"/>
        <v>2608.3405400000001</v>
      </c>
      <c r="O365" s="20">
        <f t="shared" si="160"/>
        <v>2523.3213800000003</v>
      </c>
      <c r="P365" s="20">
        <f>P367</f>
        <v>10949.12096</v>
      </c>
      <c r="Q365" s="20">
        <f>Q367</f>
        <v>9963.8371999999999</v>
      </c>
      <c r="R365" s="20">
        <f>R367</f>
        <v>3537.7000000000003</v>
      </c>
      <c r="S365" s="20">
        <f t="shared" ref="S365" si="161">S367</f>
        <v>3526.6</v>
      </c>
      <c r="T365" s="76"/>
    </row>
    <row r="366" spans="1:20" s="22" customFormat="1" ht="18" customHeight="1">
      <c r="A366" s="137"/>
      <c r="B366" s="134"/>
      <c r="C366" s="17" t="s">
        <v>131</v>
      </c>
      <c r="D366" s="18"/>
      <c r="E366" s="18"/>
      <c r="F366" s="18"/>
      <c r="G366" s="18"/>
      <c r="H366" s="19"/>
      <c r="I366" s="19"/>
      <c r="J366" s="19"/>
      <c r="K366" s="19"/>
      <c r="L366" s="19"/>
      <c r="M366" s="19"/>
      <c r="N366" s="19"/>
      <c r="O366" s="19"/>
      <c r="P366" s="19"/>
      <c r="Q366" s="19"/>
      <c r="R366" s="19"/>
      <c r="S366" s="19"/>
      <c r="T366" s="76"/>
    </row>
    <row r="367" spans="1:20" s="22" customFormat="1" ht="60" customHeight="1">
      <c r="A367" s="138"/>
      <c r="B367" s="134"/>
      <c r="C367" s="17" t="s">
        <v>346</v>
      </c>
      <c r="D367" s="26" t="s">
        <v>347</v>
      </c>
      <c r="E367" s="18"/>
      <c r="F367" s="18"/>
      <c r="G367" s="18"/>
      <c r="H367" s="19">
        <f>H368+H372+H374+H378+H380+H382+H388+H390+H370+H376+H384+H386+H392</f>
        <v>3701.8591799999999</v>
      </c>
      <c r="I367" s="19">
        <f t="shared" ref="I367:O367" si="162">I368+I372+I374+I378+I380+I382+I388+I390+I370+I376+I384+I386+I392</f>
        <v>3696.1704799999998</v>
      </c>
      <c r="J367" s="19">
        <f t="shared" si="162"/>
        <v>659.94299999999998</v>
      </c>
      <c r="K367" s="19">
        <f t="shared" si="162"/>
        <v>575.18961000000002</v>
      </c>
      <c r="L367" s="19">
        <f t="shared" si="162"/>
        <v>1579.5058799999999</v>
      </c>
      <c r="M367" s="19">
        <f t="shared" si="162"/>
        <v>1446.2834500000001</v>
      </c>
      <c r="N367" s="19">
        <f t="shared" si="162"/>
        <v>2608.3405400000001</v>
      </c>
      <c r="O367" s="19">
        <f t="shared" si="162"/>
        <v>2523.3213800000003</v>
      </c>
      <c r="P367" s="19">
        <f>P368+P372+P374+P378+P380+P382+P388+P390+P370+P376+P384+P386+P392</f>
        <v>10949.12096</v>
      </c>
      <c r="Q367" s="19">
        <f t="shared" ref="Q367:S367" si="163">Q368+Q372+Q374+Q378+Q380+Q382+Q388+Q390+Q370+Q376+Q384+Q386+Q392</f>
        <v>9963.8371999999999</v>
      </c>
      <c r="R367" s="19">
        <f>R368+R372+R374+R378+R380+R382+R388+R390+R370+R376+R384+R386+R392</f>
        <v>3537.7000000000003</v>
      </c>
      <c r="S367" s="19">
        <f t="shared" si="163"/>
        <v>3526.6</v>
      </c>
      <c r="T367" s="76"/>
    </row>
    <row r="368" spans="1:20" s="15" customFormat="1" ht="12.75" customHeight="1">
      <c r="A368" s="109" t="s">
        <v>130</v>
      </c>
      <c r="B368" s="106" t="s">
        <v>421</v>
      </c>
      <c r="C368" s="11" t="s">
        <v>57</v>
      </c>
      <c r="D368" s="23"/>
      <c r="E368" s="23"/>
      <c r="F368" s="23"/>
      <c r="G368" s="23"/>
      <c r="H368" s="25">
        <f>H369</f>
        <v>57.3</v>
      </c>
      <c r="I368" s="25">
        <f>I369</f>
        <v>57.3</v>
      </c>
      <c r="J368" s="25">
        <f t="shared" ref="J368:O368" si="164">J369</f>
        <v>14.042999999999999</v>
      </c>
      <c r="K368" s="25">
        <f t="shared" si="164"/>
        <v>14.0238</v>
      </c>
      <c r="L368" s="25">
        <f t="shared" si="164"/>
        <v>27.343</v>
      </c>
      <c r="M368" s="25">
        <f t="shared" si="164"/>
        <v>24.392890000000001</v>
      </c>
      <c r="N368" s="25">
        <f t="shared" si="164"/>
        <v>39.186</v>
      </c>
      <c r="O368" s="25">
        <f t="shared" si="164"/>
        <v>37.051949999999998</v>
      </c>
      <c r="P368" s="25">
        <f>P369</f>
        <v>64</v>
      </c>
      <c r="Q368" s="25">
        <f>Q369</f>
        <v>64</v>
      </c>
      <c r="R368" s="25">
        <f t="shared" ref="R368:S368" si="165">R369</f>
        <v>26.1</v>
      </c>
      <c r="S368" s="25">
        <f t="shared" si="165"/>
        <v>15</v>
      </c>
      <c r="T368" s="73"/>
    </row>
    <row r="369" spans="1:20" s="15" customFormat="1" ht="120.75" customHeight="1">
      <c r="A369" s="110"/>
      <c r="B369" s="106"/>
      <c r="C369" s="11" t="s">
        <v>350</v>
      </c>
      <c r="D369" s="23" t="s">
        <v>347</v>
      </c>
      <c r="E369" s="23" t="s">
        <v>422</v>
      </c>
      <c r="F369" s="23" t="s">
        <v>423</v>
      </c>
      <c r="G369" s="23" t="s">
        <v>353</v>
      </c>
      <c r="H369" s="25">
        <v>57.3</v>
      </c>
      <c r="I369" s="25">
        <v>57.3</v>
      </c>
      <c r="J369" s="25">
        <v>14.042999999999999</v>
      </c>
      <c r="K369" s="25">
        <v>14.0238</v>
      </c>
      <c r="L369" s="25">
        <v>27.343</v>
      </c>
      <c r="M369" s="25">
        <v>24.392890000000001</v>
      </c>
      <c r="N369" s="25">
        <v>39.186</v>
      </c>
      <c r="O369" s="25">
        <v>37.051949999999998</v>
      </c>
      <c r="P369" s="25">
        <v>64</v>
      </c>
      <c r="Q369" s="25">
        <v>64</v>
      </c>
      <c r="R369" s="25">
        <v>26.1</v>
      </c>
      <c r="S369" s="25">
        <v>15</v>
      </c>
      <c r="T369" s="73"/>
    </row>
    <row r="370" spans="1:20" s="15" customFormat="1" ht="12.75" customHeight="1">
      <c r="A370" s="109" t="s">
        <v>135</v>
      </c>
      <c r="B370" s="106" t="s">
        <v>674</v>
      </c>
      <c r="C370" s="52" t="s">
        <v>57</v>
      </c>
      <c r="D370" s="23"/>
      <c r="E370" s="23"/>
      <c r="F370" s="23"/>
      <c r="G370" s="23"/>
      <c r="H370" s="25">
        <f>H371</f>
        <v>0</v>
      </c>
      <c r="I370" s="25">
        <f>I371</f>
        <v>0</v>
      </c>
      <c r="J370" s="25">
        <f t="shared" ref="J370:O372" si="166">J371</f>
        <v>0</v>
      </c>
      <c r="K370" s="25">
        <f t="shared" si="166"/>
        <v>0</v>
      </c>
      <c r="L370" s="25">
        <f t="shared" si="166"/>
        <v>0</v>
      </c>
      <c r="M370" s="25">
        <f t="shared" si="166"/>
        <v>0</v>
      </c>
      <c r="N370" s="25">
        <f t="shared" si="166"/>
        <v>0</v>
      </c>
      <c r="O370" s="25">
        <f t="shared" si="166"/>
        <v>0</v>
      </c>
      <c r="P370" s="25">
        <f>P371</f>
        <v>1922.0916999999999</v>
      </c>
      <c r="Q370" s="25">
        <f>Q371</f>
        <v>1685.97865</v>
      </c>
      <c r="R370" s="25"/>
      <c r="S370" s="25"/>
      <c r="T370" s="73"/>
    </row>
    <row r="371" spans="1:20" s="15" customFormat="1" ht="83.25" customHeight="1">
      <c r="A371" s="110"/>
      <c r="B371" s="106"/>
      <c r="C371" s="52" t="s">
        <v>350</v>
      </c>
      <c r="D371" s="23" t="s">
        <v>347</v>
      </c>
      <c r="E371" s="23" t="s">
        <v>78</v>
      </c>
      <c r="F371" s="23" t="s">
        <v>673</v>
      </c>
      <c r="G371" s="23" t="s">
        <v>672</v>
      </c>
      <c r="H371" s="25"/>
      <c r="I371" s="25"/>
      <c r="J371" s="25"/>
      <c r="K371" s="25"/>
      <c r="L371" s="25"/>
      <c r="M371" s="25"/>
      <c r="N371" s="25"/>
      <c r="O371" s="25"/>
      <c r="P371" s="25">
        <v>1922.0916999999999</v>
      </c>
      <c r="Q371" s="25">
        <v>1685.97865</v>
      </c>
      <c r="R371" s="25"/>
      <c r="S371" s="25"/>
      <c r="T371" s="74" t="s">
        <v>723</v>
      </c>
    </row>
    <row r="372" spans="1:20" s="15" customFormat="1" ht="12.75" customHeight="1">
      <c r="A372" s="109" t="s">
        <v>138</v>
      </c>
      <c r="B372" s="106" t="s">
        <v>424</v>
      </c>
      <c r="C372" s="11" t="s">
        <v>57</v>
      </c>
      <c r="D372" s="23"/>
      <c r="E372" s="23"/>
      <c r="F372" s="23"/>
      <c r="G372" s="23"/>
      <c r="H372" s="25">
        <f>H373</f>
        <v>365.91500000000002</v>
      </c>
      <c r="I372" s="25">
        <f>I373</f>
        <v>365.91500000000002</v>
      </c>
      <c r="J372" s="25">
        <f t="shared" si="166"/>
        <v>0</v>
      </c>
      <c r="K372" s="25">
        <f t="shared" si="166"/>
        <v>0</v>
      </c>
      <c r="L372" s="25">
        <f t="shared" si="166"/>
        <v>119.2</v>
      </c>
      <c r="M372" s="25">
        <f t="shared" si="166"/>
        <v>105.31873</v>
      </c>
      <c r="N372" s="25">
        <f t="shared" si="166"/>
        <v>166</v>
      </c>
      <c r="O372" s="25">
        <f t="shared" si="166"/>
        <v>165.00570999999999</v>
      </c>
      <c r="P372" s="25">
        <f>P373</f>
        <v>245.3</v>
      </c>
      <c r="Q372" s="25">
        <f>Q373</f>
        <v>245.3</v>
      </c>
      <c r="R372" s="25"/>
      <c r="S372" s="25"/>
      <c r="T372" s="73"/>
    </row>
    <row r="373" spans="1:20" s="15" customFormat="1" ht="83.25" customHeight="1">
      <c r="A373" s="110"/>
      <c r="B373" s="106"/>
      <c r="C373" s="11" t="s">
        <v>350</v>
      </c>
      <c r="D373" s="23" t="s">
        <v>347</v>
      </c>
      <c r="E373" s="23" t="s">
        <v>422</v>
      </c>
      <c r="F373" s="23" t="s">
        <v>425</v>
      </c>
      <c r="G373" s="23" t="s">
        <v>353</v>
      </c>
      <c r="H373" s="25">
        <v>365.91500000000002</v>
      </c>
      <c r="I373" s="25">
        <v>365.91500000000002</v>
      </c>
      <c r="J373" s="25"/>
      <c r="K373" s="25"/>
      <c r="L373" s="25">
        <v>119.2</v>
      </c>
      <c r="M373" s="25">
        <v>105.31873</v>
      </c>
      <c r="N373" s="25">
        <v>166</v>
      </c>
      <c r="O373" s="25">
        <v>165.00570999999999</v>
      </c>
      <c r="P373" s="25">
        <v>245.3</v>
      </c>
      <c r="Q373" s="25">
        <v>245.3</v>
      </c>
      <c r="R373" s="25"/>
      <c r="S373" s="25"/>
      <c r="T373" s="73"/>
    </row>
    <row r="374" spans="1:20" s="15" customFormat="1" ht="12.75" customHeight="1">
      <c r="A374" s="109" t="s">
        <v>142</v>
      </c>
      <c r="B374" s="106" t="s">
        <v>426</v>
      </c>
      <c r="C374" s="11" t="s">
        <v>57</v>
      </c>
      <c r="D374" s="23"/>
      <c r="E374" s="23"/>
      <c r="F374" s="23"/>
      <c r="G374" s="23"/>
      <c r="H374" s="25">
        <f>H375</f>
        <v>49.844180000000001</v>
      </c>
      <c r="I374" s="25">
        <f>I375</f>
        <v>49.844180000000001</v>
      </c>
      <c r="J374" s="25">
        <f t="shared" ref="J374:O374" si="167">J375</f>
        <v>0</v>
      </c>
      <c r="K374" s="25">
        <f t="shared" si="167"/>
        <v>0</v>
      </c>
      <c r="L374" s="25">
        <f t="shared" si="167"/>
        <v>0</v>
      </c>
      <c r="M374" s="25">
        <f t="shared" si="167"/>
        <v>0</v>
      </c>
      <c r="N374" s="25">
        <f t="shared" si="167"/>
        <v>63.406199999999998</v>
      </c>
      <c r="O374" s="25">
        <f t="shared" si="167"/>
        <v>63.406199999999998</v>
      </c>
      <c r="P374" s="25">
        <f>P375</f>
        <v>63.406199999999998</v>
      </c>
      <c r="Q374" s="25">
        <f>Q375</f>
        <v>63.406199999999998</v>
      </c>
      <c r="R374" s="25"/>
      <c r="S374" s="25"/>
      <c r="T374" s="73"/>
    </row>
    <row r="375" spans="1:20" s="15" customFormat="1" ht="42.75" customHeight="1">
      <c r="A375" s="110"/>
      <c r="B375" s="106"/>
      <c r="C375" s="11" t="s">
        <v>350</v>
      </c>
      <c r="D375" s="23" t="s">
        <v>347</v>
      </c>
      <c r="E375" s="23" t="s">
        <v>351</v>
      </c>
      <c r="F375" s="23" t="s">
        <v>427</v>
      </c>
      <c r="G375" s="23" t="s">
        <v>584</v>
      </c>
      <c r="H375" s="25">
        <v>49.844180000000001</v>
      </c>
      <c r="I375" s="25">
        <v>49.844180000000001</v>
      </c>
      <c r="J375" s="25"/>
      <c r="K375" s="25"/>
      <c r="L375" s="25"/>
      <c r="M375" s="25"/>
      <c r="N375" s="25">
        <v>63.406199999999998</v>
      </c>
      <c r="O375" s="25">
        <v>63.406199999999998</v>
      </c>
      <c r="P375" s="25">
        <v>63.406199999999998</v>
      </c>
      <c r="Q375" s="25">
        <v>63.406199999999998</v>
      </c>
      <c r="R375" s="25"/>
      <c r="S375" s="25"/>
      <c r="T375" s="73"/>
    </row>
    <row r="376" spans="1:20" s="15" customFormat="1" ht="12.75" customHeight="1">
      <c r="A376" s="109" t="s">
        <v>144</v>
      </c>
      <c r="B376" s="106" t="s">
        <v>676</v>
      </c>
      <c r="C376" s="52" t="s">
        <v>57</v>
      </c>
      <c r="D376" s="23"/>
      <c r="E376" s="23"/>
      <c r="F376" s="23"/>
      <c r="G376" s="23"/>
      <c r="H376" s="25">
        <f>H377</f>
        <v>0</v>
      </c>
      <c r="I376" s="25">
        <f>I377</f>
        <v>0</v>
      </c>
      <c r="J376" s="25">
        <f t="shared" ref="J376:O376" si="168">J377</f>
        <v>0</v>
      </c>
      <c r="K376" s="25">
        <f t="shared" si="168"/>
        <v>0</v>
      </c>
      <c r="L376" s="25">
        <f t="shared" si="168"/>
        <v>0</v>
      </c>
      <c r="M376" s="25">
        <f t="shared" si="168"/>
        <v>0</v>
      </c>
      <c r="N376" s="25">
        <f t="shared" si="168"/>
        <v>0</v>
      </c>
      <c r="O376" s="25">
        <f t="shared" si="168"/>
        <v>0</v>
      </c>
      <c r="P376" s="25">
        <f>P377</f>
        <v>4423.7722999999996</v>
      </c>
      <c r="Q376" s="25">
        <f>Q377</f>
        <v>3880.3485500000002</v>
      </c>
      <c r="R376" s="25"/>
      <c r="S376" s="25"/>
      <c r="T376" s="73"/>
    </row>
    <row r="377" spans="1:20" s="15" customFormat="1" ht="83.25" customHeight="1">
      <c r="A377" s="110"/>
      <c r="B377" s="106"/>
      <c r="C377" s="52" t="s">
        <v>350</v>
      </c>
      <c r="D377" s="23" t="s">
        <v>347</v>
      </c>
      <c r="E377" s="23" t="s">
        <v>78</v>
      </c>
      <c r="F377" s="23" t="s">
        <v>675</v>
      </c>
      <c r="G377" s="23" t="s">
        <v>672</v>
      </c>
      <c r="H377" s="25"/>
      <c r="I377" s="25"/>
      <c r="J377" s="25"/>
      <c r="K377" s="25"/>
      <c r="L377" s="25"/>
      <c r="M377" s="25"/>
      <c r="N377" s="25"/>
      <c r="O377" s="25"/>
      <c r="P377" s="25">
        <v>4423.7722999999996</v>
      </c>
      <c r="Q377" s="25">
        <v>3880.3485500000002</v>
      </c>
      <c r="R377" s="25"/>
      <c r="S377" s="25"/>
      <c r="T377" s="74" t="s">
        <v>723</v>
      </c>
    </row>
    <row r="378" spans="1:20" s="15" customFormat="1" ht="12.75" customHeight="1">
      <c r="A378" s="109" t="s">
        <v>146</v>
      </c>
      <c r="B378" s="106" t="s">
        <v>428</v>
      </c>
      <c r="C378" s="11" t="s">
        <v>57</v>
      </c>
      <c r="D378" s="23"/>
      <c r="E378" s="23"/>
      <c r="F378" s="23"/>
      <c r="G378" s="23"/>
      <c r="H378" s="25">
        <f>H379</f>
        <v>2241.70541</v>
      </c>
      <c r="I378" s="25">
        <f>I379</f>
        <v>2241.70541</v>
      </c>
      <c r="J378" s="25">
        <f t="shared" ref="J378:O378" si="169">J379</f>
        <v>570</v>
      </c>
      <c r="K378" s="25">
        <f t="shared" si="169"/>
        <v>505.00581</v>
      </c>
      <c r="L378" s="25">
        <f t="shared" si="169"/>
        <v>1165.05</v>
      </c>
      <c r="M378" s="25">
        <f t="shared" si="169"/>
        <v>1080.6839500000001</v>
      </c>
      <c r="N378" s="25">
        <f t="shared" si="169"/>
        <v>1704.79</v>
      </c>
      <c r="O378" s="25">
        <f t="shared" si="169"/>
        <v>1679.05864</v>
      </c>
      <c r="P378" s="25">
        <f>P379</f>
        <v>2239.5804000000003</v>
      </c>
      <c r="Q378" s="25">
        <f>Q379</f>
        <v>2239.5804000000003</v>
      </c>
      <c r="R378" s="25">
        <f t="shared" ref="R378:S378" si="170">R379</f>
        <v>2274.4</v>
      </c>
      <c r="S378" s="25">
        <f t="shared" si="170"/>
        <v>2274.4</v>
      </c>
      <c r="T378" s="73"/>
    </row>
    <row r="379" spans="1:20" s="15" customFormat="1" ht="50.25" customHeight="1">
      <c r="A379" s="110"/>
      <c r="B379" s="106"/>
      <c r="C379" s="11" t="s">
        <v>350</v>
      </c>
      <c r="D379" s="23" t="s">
        <v>347</v>
      </c>
      <c r="E379" s="23" t="s">
        <v>422</v>
      </c>
      <c r="F379" s="23" t="s">
        <v>429</v>
      </c>
      <c r="G379" s="23" t="s">
        <v>594</v>
      </c>
      <c r="H379" s="25">
        <v>2241.70541</v>
      </c>
      <c r="I379" s="25">
        <v>2241.70541</v>
      </c>
      <c r="J379" s="25">
        <f>539.15+30.85</f>
        <v>570</v>
      </c>
      <c r="K379" s="25">
        <f>475.75581+29.25</f>
        <v>505.00581</v>
      </c>
      <c r="L379" s="25">
        <f>1086.97+78.08</f>
        <v>1165.05</v>
      </c>
      <c r="M379" s="25">
        <f>1002.60395+78.08</f>
        <v>1080.6839500000001</v>
      </c>
      <c r="N379" s="25">
        <f>1601.77+103.02</f>
        <v>1704.79</v>
      </c>
      <c r="O379" s="25">
        <f>1576.03864+103.02</f>
        <v>1679.05864</v>
      </c>
      <c r="P379" s="25">
        <f>2103.9+135.6804</f>
        <v>2239.5804000000003</v>
      </c>
      <c r="Q379" s="25">
        <f>2103.9+135.6804</f>
        <v>2239.5804000000003</v>
      </c>
      <c r="R379" s="25">
        <f>2146.8+127.6</f>
        <v>2274.4</v>
      </c>
      <c r="S379" s="25">
        <f>2146.8+127.6</f>
        <v>2274.4</v>
      </c>
      <c r="T379" s="73"/>
    </row>
    <row r="380" spans="1:20" s="15" customFormat="1" ht="12.75" customHeight="1">
      <c r="A380" s="109" t="s">
        <v>148</v>
      </c>
      <c r="B380" s="106" t="s">
        <v>428</v>
      </c>
      <c r="C380" s="11" t="s">
        <v>57</v>
      </c>
      <c r="D380" s="23"/>
      <c r="E380" s="23"/>
      <c r="F380" s="23"/>
      <c r="G380" s="23"/>
      <c r="H380" s="25">
        <f>H381</f>
        <v>184.99458999999999</v>
      </c>
      <c r="I380" s="25">
        <f>I381</f>
        <v>184.99458999999999</v>
      </c>
      <c r="J380" s="25">
        <f t="shared" ref="J380:O380" si="171">J381</f>
        <v>75.900000000000006</v>
      </c>
      <c r="K380" s="25">
        <f t="shared" si="171"/>
        <v>56.16</v>
      </c>
      <c r="L380" s="25">
        <f t="shared" si="171"/>
        <v>169.15</v>
      </c>
      <c r="M380" s="25">
        <f t="shared" si="171"/>
        <v>137.125</v>
      </c>
      <c r="N380" s="25">
        <f t="shared" si="171"/>
        <v>257.51</v>
      </c>
      <c r="O380" s="25">
        <f t="shared" si="171"/>
        <v>204.38499999999999</v>
      </c>
      <c r="P380" s="25">
        <f>P381</f>
        <v>324.01960000000003</v>
      </c>
      <c r="Q380" s="25">
        <f>Q381</f>
        <v>324.01960000000003</v>
      </c>
      <c r="R380" s="25">
        <f t="shared" ref="R380:S380" si="172">R381</f>
        <v>331.6</v>
      </c>
      <c r="S380" s="25">
        <f t="shared" si="172"/>
        <v>331.6</v>
      </c>
      <c r="T380" s="73"/>
    </row>
    <row r="381" spans="1:20" s="15" customFormat="1" ht="55.5" customHeight="1">
      <c r="A381" s="110"/>
      <c r="B381" s="106"/>
      <c r="C381" s="11" t="s">
        <v>350</v>
      </c>
      <c r="D381" s="23" t="s">
        <v>347</v>
      </c>
      <c r="E381" s="23" t="s">
        <v>422</v>
      </c>
      <c r="F381" s="23" t="s">
        <v>429</v>
      </c>
      <c r="G381" s="23" t="s">
        <v>584</v>
      </c>
      <c r="H381" s="25">
        <v>184.99458999999999</v>
      </c>
      <c r="I381" s="25">
        <f>184.99459</f>
        <v>184.99458999999999</v>
      </c>
      <c r="J381" s="25">
        <v>75.900000000000006</v>
      </c>
      <c r="K381" s="25">
        <v>56.16</v>
      </c>
      <c r="L381" s="25">
        <v>169.15</v>
      </c>
      <c r="M381" s="25">
        <v>137.125</v>
      </c>
      <c r="N381" s="25">
        <v>257.51</v>
      </c>
      <c r="O381" s="25">
        <v>204.38499999999999</v>
      </c>
      <c r="P381" s="25">
        <v>324.01960000000003</v>
      </c>
      <c r="Q381" s="25">
        <v>324.01960000000003</v>
      </c>
      <c r="R381" s="25">
        <v>331.6</v>
      </c>
      <c r="S381" s="25">
        <v>331.6</v>
      </c>
      <c r="T381" s="73"/>
    </row>
    <row r="382" spans="1:20" s="15" customFormat="1" ht="12.75" customHeight="1">
      <c r="A382" s="109" t="s">
        <v>150</v>
      </c>
      <c r="B382" s="106" t="s">
        <v>430</v>
      </c>
      <c r="C382" s="11" t="s">
        <v>57</v>
      </c>
      <c r="D382" s="23"/>
      <c r="E382" s="23"/>
      <c r="F382" s="23"/>
      <c r="G382" s="23"/>
      <c r="H382" s="25">
        <f>H383</f>
        <v>601</v>
      </c>
      <c r="I382" s="25">
        <f>I383</f>
        <v>595.38311999999996</v>
      </c>
      <c r="J382" s="25">
        <f t="shared" ref="J382:O382" si="173">J383</f>
        <v>0</v>
      </c>
      <c r="K382" s="25">
        <f t="shared" si="173"/>
        <v>0</v>
      </c>
      <c r="L382" s="25">
        <f t="shared" si="173"/>
        <v>98.762879999999996</v>
      </c>
      <c r="M382" s="25">
        <f t="shared" si="173"/>
        <v>98.762879999999996</v>
      </c>
      <c r="N382" s="25">
        <f t="shared" si="173"/>
        <v>362.02643999999998</v>
      </c>
      <c r="O382" s="25">
        <f t="shared" si="173"/>
        <v>362.02643999999998</v>
      </c>
      <c r="P382" s="25">
        <f>P383</f>
        <v>704.2</v>
      </c>
      <c r="Q382" s="25">
        <f>Q383</f>
        <v>588.1037</v>
      </c>
      <c r="R382" s="25">
        <f t="shared" ref="R382:S382" si="174">R383</f>
        <v>704.2</v>
      </c>
      <c r="S382" s="25">
        <f t="shared" si="174"/>
        <v>704.2</v>
      </c>
      <c r="T382" s="73"/>
    </row>
    <row r="383" spans="1:20" s="15" customFormat="1" ht="79.5" customHeight="1">
      <c r="A383" s="110"/>
      <c r="B383" s="106"/>
      <c r="C383" s="11" t="s">
        <v>350</v>
      </c>
      <c r="D383" s="23" t="s">
        <v>347</v>
      </c>
      <c r="E383" s="23" t="s">
        <v>422</v>
      </c>
      <c r="F383" s="23" t="s">
        <v>431</v>
      </c>
      <c r="G383" s="23" t="s">
        <v>584</v>
      </c>
      <c r="H383" s="25">
        <v>601</v>
      </c>
      <c r="I383" s="25">
        <v>595.38311999999996</v>
      </c>
      <c r="J383" s="25"/>
      <c r="K383" s="25"/>
      <c r="L383" s="25">
        <v>98.762879999999996</v>
      </c>
      <c r="M383" s="25">
        <v>98.762879999999996</v>
      </c>
      <c r="N383" s="25">
        <v>362.02643999999998</v>
      </c>
      <c r="O383" s="25">
        <v>362.02643999999998</v>
      </c>
      <c r="P383" s="25">
        <v>704.2</v>
      </c>
      <c r="Q383" s="25">
        <v>588.1037</v>
      </c>
      <c r="R383" s="25">
        <v>704.2</v>
      </c>
      <c r="S383" s="25">
        <v>704.2</v>
      </c>
      <c r="T383" s="74"/>
    </row>
    <row r="384" spans="1:20" s="15" customFormat="1" ht="12.75" customHeight="1">
      <c r="A384" s="109" t="s">
        <v>597</v>
      </c>
      <c r="B384" s="106" t="s">
        <v>41</v>
      </c>
      <c r="C384" s="52" t="s">
        <v>57</v>
      </c>
      <c r="D384" s="23"/>
      <c r="E384" s="23"/>
      <c r="F384" s="23"/>
      <c r="G384" s="23"/>
      <c r="H384" s="25">
        <f>H385</f>
        <v>0</v>
      </c>
      <c r="I384" s="25">
        <f>I385</f>
        <v>0</v>
      </c>
      <c r="J384" s="25">
        <f t="shared" ref="J384:O386" si="175">J385</f>
        <v>0</v>
      </c>
      <c r="K384" s="25">
        <f t="shared" si="175"/>
        <v>0</v>
      </c>
      <c r="L384" s="25">
        <f t="shared" si="175"/>
        <v>0</v>
      </c>
      <c r="M384" s="25">
        <f t="shared" si="175"/>
        <v>0</v>
      </c>
      <c r="N384" s="25">
        <f t="shared" si="175"/>
        <v>11.2219</v>
      </c>
      <c r="O384" s="25">
        <f t="shared" si="175"/>
        <v>11.2219</v>
      </c>
      <c r="P384" s="25">
        <f>P385</f>
        <v>53.45476</v>
      </c>
      <c r="Q384" s="25">
        <f>Q385</f>
        <v>53.453760000000003</v>
      </c>
      <c r="R384" s="25"/>
      <c r="S384" s="25"/>
      <c r="T384" s="73"/>
    </row>
    <row r="385" spans="1:20" s="15" customFormat="1" ht="83.25" customHeight="1">
      <c r="A385" s="110"/>
      <c r="B385" s="106"/>
      <c r="C385" s="52" t="s">
        <v>350</v>
      </c>
      <c r="D385" s="23" t="s">
        <v>347</v>
      </c>
      <c r="E385" s="23" t="s">
        <v>422</v>
      </c>
      <c r="F385" s="23" t="s">
        <v>677</v>
      </c>
      <c r="G385" s="23" t="s">
        <v>632</v>
      </c>
      <c r="H385" s="25"/>
      <c r="I385" s="25"/>
      <c r="J385" s="25"/>
      <c r="K385" s="25"/>
      <c r="L385" s="25"/>
      <c r="M385" s="25"/>
      <c r="N385" s="25">
        <v>11.2219</v>
      </c>
      <c r="O385" s="25">
        <v>11.2219</v>
      </c>
      <c r="P385" s="25">
        <v>53.45476</v>
      </c>
      <c r="Q385" s="25">
        <v>53.453760000000003</v>
      </c>
      <c r="R385" s="25"/>
      <c r="S385" s="25"/>
      <c r="T385" s="73"/>
    </row>
    <row r="386" spans="1:20" s="15" customFormat="1" ht="12.75" customHeight="1">
      <c r="A386" s="109" t="s">
        <v>601</v>
      </c>
      <c r="B386" s="106" t="s">
        <v>680</v>
      </c>
      <c r="C386" s="52" t="s">
        <v>57</v>
      </c>
      <c r="D386" s="23"/>
      <c r="E386" s="23"/>
      <c r="F386" s="23"/>
      <c r="G386" s="23"/>
      <c r="H386" s="25">
        <f>H387</f>
        <v>0</v>
      </c>
      <c r="I386" s="25">
        <f>I387</f>
        <v>0</v>
      </c>
      <c r="J386" s="25">
        <f t="shared" si="175"/>
        <v>0</v>
      </c>
      <c r="K386" s="25">
        <f t="shared" si="175"/>
        <v>0</v>
      </c>
      <c r="L386" s="25">
        <f t="shared" si="175"/>
        <v>0</v>
      </c>
      <c r="M386" s="25">
        <f t="shared" si="175"/>
        <v>0</v>
      </c>
      <c r="N386" s="25">
        <f t="shared" si="175"/>
        <v>3</v>
      </c>
      <c r="O386" s="25">
        <f t="shared" si="175"/>
        <v>0</v>
      </c>
      <c r="P386" s="25">
        <f>P387</f>
        <v>3</v>
      </c>
      <c r="Q386" s="25">
        <f>Q387</f>
        <v>0</v>
      </c>
      <c r="R386" s="25"/>
      <c r="S386" s="25"/>
      <c r="T386" s="73"/>
    </row>
    <row r="387" spans="1:20" s="15" customFormat="1" ht="83.25" customHeight="1">
      <c r="A387" s="110"/>
      <c r="B387" s="106"/>
      <c r="C387" s="52" t="s">
        <v>350</v>
      </c>
      <c r="D387" s="23" t="s">
        <v>347</v>
      </c>
      <c r="E387" s="23" t="s">
        <v>78</v>
      </c>
      <c r="F387" s="23" t="s">
        <v>678</v>
      </c>
      <c r="G387" s="23" t="s">
        <v>679</v>
      </c>
      <c r="H387" s="25"/>
      <c r="I387" s="25"/>
      <c r="J387" s="25"/>
      <c r="K387" s="25"/>
      <c r="L387" s="25"/>
      <c r="M387" s="25"/>
      <c r="N387" s="25">
        <v>3</v>
      </c>
      <c r="O387" s="25"/>
      <c r="P387" s="25">
        <v>3</v>
      </c>
      <c r="Q387" s="25">
        <v>0</v>
      </c>
      <c r="R387" s="25"/>
      <c r="S387" s="25"/>
      <c r="T387" s="75"/>
    </row>
    <row r="388" spans="1:20" s="15" customFormat="1" ht="12.75" customHeight="1">
      <c r="A388" s="109" t="s">
        <v>604</v>
      </c>
      <c r="B388" s="106" t="s">
        <v>432</v>
      </c>
      <c r="C388" s="11" t="s">
        <v>57</v>
      </c>
      <c r="D388" s="23"/>
      <c r="E388" s="23"/>
      <c r="F388" s="23"/>
      <c r="G388" s="23"/>
      <c r="H388" s="25">
        <f>H389</f>
        <v>200</v>
      </c>
      <c r="I388" s="25">
        <f>I389</f>
        <v>200</v>
      </c>
      <c r="J388" s="25">
        <f t="shared" ref="J388:O388" si="176">J389</f>
        <v>0</v>
      </c>
      <c r="K388" s="25">
        <f t="shared" si="176"/>
        <v>0</v>
      </c>
      <c r="L388" s="25">
        <f t="shared" si="176"/>
        <v>0</v>
      </c>
      <c r="M388" s="25">
        <f t="shared" si="176"/>
        <v>0</v>
      </c>
      <c r="N388" s="25">
        <f t="shared" si="176"/>
        <v>0</v>
      </c>
      <c r="O388" s="25">
        <f t="shared" si="176"/>
        <v>0</v>
      </c>
      <c r="P388" s="25">
        <f>P389</f>
        <v>200</v>
      </c>
      <c r="Q388" s="25">
        <f>Q389</f>
        <v>200</v>
      </c>
      <c r="R388" s="25">
        <f t="shared" ref="R388:S388" si="177">R389</f>
        <v>200</v>
      </c>
      <c r="S388" s="25">
        <f t="shared" si="177"/>
        <v>200</v>
      </c>
      <c r="T388" s="73"/>
    </row>
    <row r="389" spans="1:20" s="15" customFormat="1" ht="46.5" customHeight="1">
      <c r="A389" s="110"/>
      <c r="B389" s="106"/>
      <c r="C389" s="11" t="s">
        <v>350</v>
      </c>
      <c r="D389" s="23" t="s">
        <v>347</v>
      </c>
      <c r="E389" s="23" t="s">
        <v>422</v>
      </c>
      <c r="F389" s="23" t="s">
        <v>433</v>
      </c>
      <c r="G389" s="23" t="s">
        <v>83</v>
      </c>
      <c r="H389" s="25">
        <v>200</v>
      </c>
      <c r="I389" s="25">
        <v>200</v>
      </c>
      <c r="J389" s="25"/>
      <c r="K389" s="25"/>
      <c r="L389" s="25"/>
      <c r="M389" s="25"/>
      <c r="N389" s="25"/>
      <c r="O389" s="25"/>
      <c r="P389" s="25">
        <v>200</v>
      </c>
      <c r="Q389" s="25">
        <v>200</v>
      </c>
      <c r="R389" s="25">
        <v>200</v>
      </c>
      <c r="S389" s="25">
        <v>200</v>
      </c>
      <c r="T389" s="73"/>
    </row>
    <row r="390" spans="1:20" s="15" customFormat="1" ht="12.75" customHeight="1">
      <c r="A390" s="109" t="s">
        <v>683</v>
      </c>
      <c r="B390" s="106" t="s">
        <v>434</v>
      </c>
      <c r="C390" s="11" t="s">
        <v>57</v>
      </c>
      <c r="D390" s="23"/>
      <c r="E390" s="23"/>
      <c r="F390" s="23"/>
      <c r="G390" s="23"/>
      <c r="H390" s="25">
        <f>H391</f>
        <v>1.1000000000000001</v>
      </c>
      <c r="I390" s="25">
        <f>I391</f>
        <v>1.0281800000000001</v>
      </c>
      <c r="J390" s="25">
        <f t="shared" ref="J390:O390" si="178">J391</f>
        <v>0</v>
      </c>
      <c r="K390" s="25">
        <f t="shared" si="178"/>
        <v>0</v>
      </c>
      <c r="L390" s="25">
        <f t="shared" si="178"/>
        <v>0</v>
      </c>
      <c r="M390" s="25">
        <f t="shared" si="178"/>
        <v>0</v>
      </c>
      <c r="N390" s="25">
        <f t="shared" si="178"/>
        <v>1.2</v>
      </c>
      <c r="O390" s="25">
        <f t="shared" si="178"/>
        <v>1.16554</v>
      </c>
      <c r="P390" s="25">
        <f>P391</f>
        <v>1.2</v>
      </c>
      <c r="Q390" s="25">
        <f>Q391</f>
        <v>1.16554</v>
      </c>
      <c r="R390" s="25">
        <f t="shared" ref="R390:S390" si="179">R391</f>
        <v>1.4</v>
      </c>
      <c r="S390" s="25">
        <f t="shared" si="179"/>
        <v>1.4</v>
      </c>
      <c r="T390" s="73"/>
    </row>
    <row r="391" spans="1:20" s="15" customFormat="1" ht="41.25" customHeight="1">
      <c r="A391" s="110"/>
      <c r="B391" s="106"/>
      <c r="C391" s="11" t="s">
        <v>350</v>
      </c>
      <c r="D391" s="23" t="s">
        <v>347</v>
      </c>
      <c r="E391" s="23" t="s">
        <v>351</v>
      </c>
      <c r="F391" s="23" t="s">
        <v>435</v>
      </c>
      <c r="G391" s="23" t="s">
        <v>584</v>
      </c>
      <c r="H391" s="25">
        <v>1.1000000000000001</v>
      </c>
      <c r="I391" s="25">
        <v>1.0281800000000001</v>
      </c>
      <c r="J391" s="25"/>
      <c r="K391" s="25"/>
      <c r="L391" s="25"/>
      <c r="M391" s="25"/>
      <c r="N391" s="25">
        <v>1.2</v>
      </c>
      <c r="O391" s="25">
        <v>1.16554</v>
      </c>
      <c r="P391" s="25">
        <v>1.2</v>
      </c>
      <c r="Q391" s="25">
        <v>1.16554</v>
      </c>
      <c r="R391" s="25">
        <v>1.4</v>
      </c>
      <c r="S391" s="25">
        <v>1.4</v>
      </c>
      <c r="T391" s="74"/>
    </row>
    <row r="392" spans="1:20" s="15" customFormat="1" ht="12.75" customHeight="1">
      <c r="A392" s="106" t="s">
        <v>682</v>
      </c>
      <c r="B392" s="106" t="s">
        <v>680</v>
      </c>
      <c r="C392" s="52" t="s">
        <v>57</v>
      </c>
      <c r="D392" s="23"/>
      <c r="E392" s="23"/>
      <c r="F392" s="23"/>
      <c r="G392" s="23"/>
      <c r="H392" s="25">
        <f>H393</f>
        <v>0</v>
      </c>
      <c r="I392" s="25">
        <f>I393</f>
        <v>0</v>
      </c>
      <c r="J392" s="25">
        <f t="shared" ref="J392:O392" si="180">J393</f>
        <v>0</v>
      </c>
      <c r="K392" s="25">
        <f t="shared" si="180"/>
        <v>0</v>
      </c>
      <c r="L392" s="25">
        <f t="shared" si="180"/>
        <v>0</v>
      </c>
      <c r="M392" s="25">
        <f t="shared" si="180"/>
        <v>0</v>
      </c>
      <c r="N392" s="25">
        <f t="shared" si="180"/>
        <v>0</v>
      </c>
      <c r="O392" s="25">
        <f t="shared" si="180"/>
        <v>0</v>
      </c>
      <c r="P392" s="25">
        <f>P393</f>
        <v>705.096</v>
      </c>
      <c r="Q392" s="25">
        <f>Q393</f>
        <v>618.48080000000004</v>
      </c>
      <c r="R392" s="25"/>
      <c r="S392" s="25"/>
      <c r="T392" s="73"/>
    </row>
    <row r="393" spans="1:20" s="15" customFormat="1" ht="83.25" customHeight="1">
      <c r="A393" s="106"/>
      <c r="B393" s="106"/>
      <c r="C393" s="52" t="s">
        <v>350</v>
      </c>
      <c r="D393" s="23" t="s">
        <v>347</v>
      </c>
      <c r="E393" s="23" t="s">
        <v>78</v>
      </c>
      <c r="F393" s="23" t="s">
        <v>681</v>
      </c>
      <c r="G393" s="23" t="s">
        <v>672</v>
      </c>
      <c r="H393" s="25"/>
      <c r="I393" s="25"/>
      <c r="J393" s="25"/>
      <c r="K393" s="25"/>
      <c r="L393" s="25"/>
      <c r="M393" s="25"/>
      <c r="N393" s="25"/>
      <c r="O393" s="25"/>
      <c r="P393" s="25">
        <v>705.096</v>
      </c>
      <c r="Q393" s="25">
        <v>618.48080000000004</v>
      </c>
      <c r="R393" s="25"/>
      <c r="S393" s="25"/>
      <c r="T393" s="74" t="s">
        <v>723</v>
      </c>
    </row>
    <row r="394" spans="1:20" s="22" customFormat="1" ht="18" customHeight="1">
      <c r="A394" s="136" t="s">
        <v>436</v>
      </c>
      <c r="B394" s="139"/>
      <c r="C394" s="17" t="s">
        <v>57</v>
      </c>
      <c r="D394" s="18"/>
      <c r="E394" s="18"/>
      <c r="F394" s="18"/>
      <c r="G394" s="18"/>
      <c r="H394" s="20">
        <f>H399+H404+H406</f>
        <v>12615.800000000001</v>
      </c>
      <c r="I394" s="20">
        <f>I399+I404+I406</f>
        <v>11596.378159999998</v>
      </c>
      <c r="J394" s="20">
        <f t="shared" ref="J394:O394" si="181">J399+J404+J406</f>
        <v>2617.2307099999998</v>
      </c>
      <c r="K394" s="20">
        <f t="shared" si="181"/>
        <v>2615.7695899999999</v>
      </c>
      <c r="L394" s="20">
        <f t="shared" si="181"/>
        <v>7845.9085999999998</v>
      </c>
      <c r="M394" s="20">
        <f t="shared" si="181"/>
        <v>7845.9085999999998</v>
      </c>
      <c r="N394" s="20">
        <f t="shared" si="181"/>
        <v>14880.4622</v>
      </c>
      <c r="O394" s="20">
        <f t="shared" si="181"/>
        <v>10928.8802</v>
      </c>
      <c r="P394" s="20">
        <f>P399+P404+P406</f>
        <v>21884.251</v>
      </c>
      <c r="Q394" s="20">
        <f>Q399+Q404+Q406</f>
        <v>18500.967819999998</v>
      </c>
      <c r="R394" s="20">
        <f t="shared" ref="R394:S394" si="182">R399+R404+R406</f>
        <v>12222.609</v>
      </c>
      <c r="S394" s="20">
        <f t="shared" si="182"/>
        <v>12216.362000000001</v>
      </c>
      <c r="T394" s="76"/>
    </row>
    <row r="395" spans="1:20" s="22" customFormat="1" ht="17.25" customHeight="1">
      <c r="A395" s="137"/>
      <c r="B395" s="140"/>
      <c r="C395" s="17" t="s">
        <v>131</v>
      </c>
      <c r="D395" s="26"/>
      <c r="E395" s="26"/>
      <c r="F395" s="26"/>
      <c r="G395" s="26"/>
      <c r="H395" s="19"/>
      <c r="I395" s="19"/>
      <c r="J395" s="19"/>
      <c r="K395" s="19"/>
      <c r="L395" s="19"/>
      <c r="M395" s="19"/>
      <c r="N395" s="19"/>
      <c r="O395" s="19"/>
      <c r="P395" s="19"/>
      <c r="Q395" s="19"/>
      <c r="R395" s="19"/>
      <c r="S395" s="19"/>
      <c r="T395" s="76"/>
    </row>
    <row r="396" spans="1:20" s="22" customFormat="1" ht="33" customHeight="1">
      <c r="A396" s="137"/>
      <c r="B396" s="140"/>
      <c r="C396" s="17" t="s">
        <v>346</v>
      </c>
      <c r="D396" s="26" t="s">
        <v>347</v>
      </c>
      <c r="E396" s="26"/>
      <c r="F396" s="26"/>
      <c r="G396" s="26"/>
      <c r="H396" s="19">
        <f t="shared" ref="H396:O396" si="183">H401+H405+H408+H402+H409</f>
        <v>12505.4</v>
      </c>
      <c r="I396" s="19">
        <f t="shared" si="183"/>
        <v>11517.958159999998</v>
      </c>
      <c r="J396" s="19">
        <f t="shared" si="183"/>
        <v>2612.0785799999999</v>
      </c>
      <c r="K396" s="19">
        <f t="shared" si="183"/>
        <v>2610.6174599999999</v>
      </c>
      <c r="L396" s="19">
        <f t="shared" si="183"/>
        <v>7778.8154199999999</v>
      </c>
      <c r="M396" s="19">
        <f t="shared" si="183"/>
        <v>7778.8154199999999</v>
      </c>
      <c r="N396" s="19">
        <f t="shared" si="183"/>
        <v>14797.11614</v>
      </c>
      <c r="O396" s="19">
        <f t="shared" si="183"/>
        <v>10845.53414</v>
      </c>
      <c r="P396" s="19">
        <f>P401+P405+P408+P402+P409</f>
        <v>21779.040000000001</v>
      </c>
      <c r="Q396" s="19">
        <f t="shared" ref="Q396:S396" si="184">Q401+Q405+Q408+Q402+Q409</f>
        <v>18399.987819999998</v>
      </c>
      <c r="R396" s="19">
        <f t="shared" si="184"/>
        <v>12097.458000000001</v>
      </c>
      <c r="S396" s="19">
        <f t="shared" si="184"/>
        <v>12097.458000000001</v>
      </c>
      <c r="T396" s="76"/>
    </row>
    <row r="397" spans="1:20" s="22" customFormat="1" ht="21.75" customHeight="1">
      <c r="A397" s="137"/>
      <c r="B397" s="140"/>
      <c r="C397" s="17" t="s">
        <v>437</v>
      </c>
      <c r="D397" s="26" t="s">
        <v>438</v>
      </c>
      <c r="E397" s="26"/>
      <c r="F397" s="26"/>
      <c r="G397" s="26"/>
      <c r="H397" s="19">
        <f>H403</f>
        <v>31.4</v>
      </c>
      <c r="I397" s="19">
        <f>I403</f>
        <v>9.42</v>
      </c>
      <c r="J397" s="19">
        <f t="shared" ref="J397:O397" si="185">J403</f>
        <v>5.1521299999999997</v>
      </c>
      <c r="K397" s="19">
        <f t="shared" si="185"/>
        <v>5.1521299999999997</v>
      </c>
      <c r="L397" s="19">
        <f t="shared" si="185"/>
        <v>11.09318</v>
      </c>
      <c r="M397" s="19">
        <f t="shared" si="185"/>
        <v>11.09318</v>
      </c>
      <c r="N397" s="19">
        <f t="shared" si="185"/>
        <v>17.346060000000001</v>
      </c>
      <c r="O397" s="19">
        <f t="shared" si="185"/>
        <v>17.346060000000001</v>
      </c>
      <c r="P397" s="19">
        <f>P403</f>
        <v>26.210999999999999</v>
      </c>
      <c r="Q397" s="19">
        <f>Q403</f>
        <v>21.98</v>
      </c>
      <c r="R397" s="19">
        <f t="shared" ref="R397:S397" si="186">R403</f>
        <v>31.151</v>
      </c>
      <c r="S397" s="19">
        <f t="shared" si="186"/>
        <v>24.904</v>
      </c>
      <c r="T397" s="76"/>
    </row>
    <row r="398" spans="1:20" s="22" customFormat="1" ht="44.25" customHeight="1">
      <c r="A398" s="138"/>
      <c r="B398" s="141"/>
      <c r="C398" s="17" t="s">
        <v>439</v>
      </c>
      <c r="D398" s="26" t="s">
        <v>59</v>
      </c>
      <c r="E398" s="18"/>
      <c r="F398" s="18"/>
      <c r="G398" s="18"/>
      <c r="H398" s="19">
        <f>H410</f>
        <v>79</v>
      </c>
      <c r="I398" s="19">
        <f>I410</f>
        <v>69</v>
      </c>
      <c r="J398" s="19">
        <f t="shared" ref="J398:O398" si="187">J410</f>
        <v>0</v>
      </c>
      <c r="K398" s="19">
        <f t="shared" si="187"/>
        <v>0</v>
      </c>
      <c r="L398" s="19">
        <f t="shared" si="187"/>
        <v>56</v>
      </c>
      <c r="M398" s="19">
        <f t="shared" si="187"/>
        <v>56</v>
      </c>
      <c r="N398" s="19">
        <f t="shared" si="187"/>
        <v>66</v>
      </c>
      <c r="O398" s="19">
        <f t="shared" si="187"/>
        <v>66</v>
      </c>
      <c r="P398" s="19">
        <f>P410</f>
        <v>79</v>
      </c>
      <c r="Q398" s="19">
        <f>Q410</f>
        <v>79</v>
      </c>
      <c r="R398" s="19">
        <f t="shared" ref="R398:S398" si="188">R410</f>
        <v>94</v>
      </c>
      <c r="S398" s="19">
        <f t="shared" si="188"/>
        <v>94</v>
      </c>
      <c r="T398" s="76"/>
    </row>
    <row r="399" spans="1:20" s="15" customFormat="1" ht="26.4">
      <c r="A399" s="106" t="s">
        <v>440</v>
      </c>
      <c r="B399" s="11"/>
      <c r="C399" s="11" t="s">
        <v>57</v>
      </c>
      <c r="D399" s="23"/>
      <c r="E399" s="24"/>
      <c r="F399" s="24"/>
      <c r="G399" s="24"/>
      <c r="H399" s="25">
        <f t="shared" ref="H399:O399" si="189">H401+H403+H402</f>
        <v>1201.2</v>
      </c>
      <c r="I399" s="25">
        <f t="shared" si="189"/>
        <v>1179.22</v>
      </c>
      <c r="J399" s="25">
        <f t="shared" si="189"/>
        <v>5.1521299999999997</v>
      </c>
      <c r="K399" s="25">
        <f t="shared" si="189"/>
        <v>5.1521299999999997</v>
      </c>
      <c r="L399" s="25">
        <f t="shared" si="189"/>
        <v>1845.78918</v>
      </c>
      <c r="M399" s="25">
        <f t="shared" si="189"/>
        <v>1845.78918</v>
      </c>
      <c r="N399" s="25">
        <f t="shared" si="189"/>
        <v>5710.6240600000001</v>
      </c>
      <c r="O399" s="25">
        <f t="shared" si="189"/>
        <v>1852.04206</v>
      </c>
      <c r="P399" s="25">
        <f>P401+P403+P402</f>
        <v>8643.7109999999993</v>
      </c>
      <c r="Q399" s="25">
        <f t="shared" ref="Q399:S399" si="190">Q401+Q403+Q402</f>
        <v>6297.7619999999997</v>
      </c>
      <c r="R399" s="25">
        <f t="shared" si="190"/>
        <v>31.151</v>
      </c>
      <c r="S399" s="25">
        <f t="shared" si="190"/>
        <v>24.904</v>
      </c>
      <c r="T399" s="73"/>
    </row>
    <row r="400" spans="1:20" s="15" customFormat="1" ht="13.2">
      <c r="A400" s="106"/>
      <c r="B400" s="11"/>
      <c r="C400" s="11" t="s">
        <v>131</v>
      </c>
      <c r="D400" s="23"/>
      <c r="E400" s="23"/>
      <c r="F400" s="23"/>
      <c r="G400" s="23"/>
      <c r="H400" s="25"/>
      <c r="I400" s="25"/>
      <c r="J400" s="25"/>
      <c r="K400" s="25"/>
      <c r="L400" s="25"/>
      <c r="M400" s="25"/>
      <c r="N400" s="25"/>
      <c r="O400" s="25"/>
      <c r="P400" s="25"/>
      <c r="Q400" s="25"/>
      <c r="R400" s="25"/>
      <c r="S400" s="25"/>
      <c r="T400" s="73"/>
    </row>
    <row r="401" spans="1:20" s="15" customFormat="1" ht="92.4">
      <c r="A401" s="106"/>
      <c r="B401" s="11" t="s">
        <v>441</v>
      </c>
      <c r="C401" s="11" t="s">
        <v>346</v>
      </c>
      <c r="D401" s="23" t="s">
        <v>347</v>
      </c>
      <c r="E401" s="23" t="s">
        <v>442</v>
      </c>
      <c r="F401" s="23" t="s">
        <v>443</v>
      </c>
      <c r="G401" s="23" t="s">
        <v>609</v>
      </c>
      <c r="H401" s="25">
        <v>1169.8</v>
      </c>
      <c r="I401" s="25">
        <v>1169.8</v>
      </c>
      <c r="J401" s="25"/>
      <c r="K401" s="25"/>
      <c r="L401" s="25">
        <v>1834.6959999999999</v>
      </c>
      <c r="M401" s="25">
        <v>1834.6959999999999</v>
      </c>
      <c r="N401" s="25">
        <v>1834.6959999999999</v>
      </c>
      <c r="O401" s="25">
        <v>1834.6959999999999</v>
      </c>
      <c r="P401" s="25">
        <v>2417.1999999999998</v>
      </c>
      <c r="Q401" s="25">
        <v>2417.1999999999998</v>
      </c>
      <c r="R401" s="25"/>
      <c r="S401" s="25"/>
      <c r="T401" s="73"/>
    </row>
    <row r="402" spans="1:20" s="15" customFormat="1" ht="118.8">
      <c r="A402" s="106"/>
      <c r="B402" s="52" t="s">
        <v>685</v>
      </c>
      <c r="C402" s="52" t="s">
        <v>346</v>
      </c>
      <c r="D402" s="23" t="s">
        <v>347</v>
      </c>
      <c r="E402" s="23" t="s">
        <v>442</v>
      </c>
      <c r="F402" s="23" t="s">
        <v>684</v>
      </c>
      <c r="G402" s="23" t="s">
        <v>609</v>
      </c>
      <c r="H402" s="25"/>
      <c r="I402" s="25"/>
      <c r="J402" s="25"/>
      <c r="K402" s="25"/>
      <c r="L402" s="25"/>
      <c r="M402" s="25"/>
      <c r="N402" s="25">
        <v>3858.5819999999999</v>
      </c>
      <c r="O402" s="25"/>
      <c r="P402" s="25">
        <v>6200.3</v>
      </c>
      <c r="Q402" s="25">
        <v>3858.5819999999999</v>
      </c>
      <c r="R402" s="25"/>
      <c r="S402" s="25"/>
      <c r="T402" s="75" t="s">
        <v>743</v>
      </c>
    </row>
    <row r="403" spans="1:20" s="15" customFormat="1" ht="92.4">
      <c r="A403" s="106"/>
      <c r="B403" s="11" t="s">
        <v>444</v>
      </c>
      <c r="C403" s="11" t="s">
        <v>437</v>
      </c>
      <c r="D403" s="23" t="s">
        <v>438</v>
      </c>
      <c r="E403" s="23" t="s">
        <v>442</v>
      </c>
      <c r="F403" s="23" t="s">
        <v>445</v>
      </c>
      <c r="G403" s="23" t="s">
        <v>584</v>
      </c>
      <c r="H403" s="25">
        <v>31.4</v>
      </c>
      <c r="I403" s="25">
        <v>9.42</v>
      </c>
      <c r="J403" s="25">
        <v>5.1521299999999997</v>
      </c>
      <c r="K403" s="25">
        <v>5.1521299999999997</v>
      </c>
      <c r="L403" s="25">
        <v>11.09318</v>
      </c>
      <c r="M403" s="25">
        <v>11.09318</v>
      </c>
      <c r="N403" s="25">
        <v>17.346060000000001</v>
      </c>
      <c r="O403" s="25">
        <v>17.346060000000001</v>
      </c>
      <c r="P403" s="25">
        <v>26.210999999999999</v>
      </c>
      <c r="Q403" s="25">
        <v>21.98</v>
      </c>
      <c r="R403" s="25">
        <v>31.151</v>
      </c>
      <c r="S403" s="25">
        <v>24.904</v>
      </c>
      <c r="T403" s="75" t="s">
        <v>744</v>
      </c>
    </row>
    <row r="404" spans="1:20" s="15" customFormat="1" ht="26.4">
      <c r="A404" s="106" t="s">
        <v>446</v>
      </c>
      <c r="B404" s="106" t="s">
        <v>447</v>
      </c>
      <c r="C404" s="11" t="s">
        <v>57</v>
      </c>
      <c r="D404" s="23"/>
      <c r="E404" s="24"/>
      <c r="F404" s="24"/>
      <c r="G404" s="24"/>
      <c r="H404" s="25">
        <f>H405</f>
        <v>11312.2</v>
      </c>
      <c r="I404" s="25">
        <f>I405</f>
        <v>10324.758159999999</v>
      </c>
      <c r="J404" s="25">
        <f t="shared" ref="J404:O404" si="191">J405</f>
        <v>2612.0785799999999</v>
      </c>
      <c r="K404" s="25">
        <f t="shared" si="191"/>
        <v>2610.6174599999999</v>
      </c>
      <c r="L404" s="25">
        <f t="shared" si="191"/>
        <v>5944.11942</v>
      </c>
      <c r="M404" s="25">
        <f t="shared" si="191"/>
        <v>5944.11942</v>
      </c>
      <c r="N404" s="25">
        <f t="shared" si="191"/>
        <v>9010.8381399999998</v>
      </c>
      <c r="O404" s="25">
        <f t="shared" si="191"/>
        <v>9010.8381399999998</v>
      </c>
      <c r="P404" s="25">
        <f>P405</f>
        <v>13068.54</v>
      </c>
      <c r="Q404" s="25">
        <f>Q405</f>
        <v>12031.205819999999</v>
      </c>
      <c r="R404" s="25">
        <f t="shared" ref="R404:S404" si="192">R405</f>
        <v>12097.458000000001</v>
      </c>
      <c r="S404" s="25">
        <f t="shared" si="192"/>
        <v>12097.458000000001</v>
      </c>
      <c r="T404" s="73"/>
    </row>
    <row r="405" spans="1:20" s="15" customFormat="1" ht="107.25" customHeight="1">
      <c r="A405" s="106"/>
      <c r="B405" s="106"/>
      <c r="C405" s="11" t="s">
        <v>350</v>
      </c>
      <c r="D405" s="23" t="s">
        <v>347</v>
      </c>
      <c r="E405" s="24" t="s">
        <v>448</v>
      </c>
      <c r="F405" s="24" t="s">
        <v>449</v>
      </c>
      <c r="G405" s="24" t="s">
        <v>353</v>
      </c>
      <c r="H405" s="25">
        <v>11312.2</v>
      </c>
      <c r="I405" s="25">
        <v>10324.758159999999</v>
      </c>
      <c r="J405" s="25">
        <v>2612.0785799999999</v>
      </c>
      <c r="K405" s="25">
        <v>2610.6174599999999</v>
      </c>
      <c r="L405" s="25">
        <v>5944.11942</v>
      </c>
      <c r="M405" s="25">
        <v>5944.11942</v>
      </c>
      <c r="N405" s="25">
        <v>9010.8381399999998</v>
      </c>
      <c r="O405" s="25">
        <v>9010.8381399999998</v>
      </c>
      <c r="P405" s="25">
        <v>13068.54</v>
      </c>
      <c r="Q405" s="25">
        <v>12031.205819999999</v>
      </c>
      <c r="R405" s="25">
        <v>12097.458000000001</v>
      </c>
      <c r="S405" s="25">
        <v>12097.458000000001</v>
      </c>
      <c r="T405" s="75" t="s">
        <v>745</v>
      </c>
    </row>
    <row r="406" spans="1:20" s="15" customFormat="1" ht="12.75" customHeight="1">
      <c r="A406" s="109" t="s">
        <v>450</v>
      </c>
      <c r="B406" s="27"/>
      <c r="C406" s="11" t="s">
        <v>57</v>
      </c>
      <c r="D406" s="23"/>
      <c r="E406" s="23"/>
      <c r="F406" s="23"/>
      <c r="G406" s="23"/>
      <c r="H406" s="25">
        <f t="shared" ref="H406:O406" si="193">H408+H410+H409</f>
        <v>102.4</v>
      </c>
      <c r="I406" s="25">
        <f t="shared" si="193"/>
        <v>92.4</v>
      </c>
      <c r="J406" s="25">
        <f t="shared" si="193"/>
        <v>0</v>
      </c>
      <c r="K406" s="25">
        <f t="shared" si="193"/>
        <v>0</v>
      </c>
      <c r="L406" s="25">
        <f t="shared" si="193"/>
        <v>56</v>
      </c>
      <c r="M406" s="25">
        <f t="shared" si="193"/>
        <v>56</v>
      </c>
      <c r="N406" s="25">
        <f t="shared" si="193"/>
        <v>159</v>
      </c>
      <c r="O406" s="25">
        <f t="shared" si="193"/>
        <v>66</v>
      </c>
      <c r="P406" s="25">
        <f>P408+P410+P409</f>
        <v>172</v>
      </c>
      <c r="Q406" s="25">
        <f t="shared" ref="Q406:S406" si="194">Q408+Q410+Q409</f>
        <v>172</v>
      </c>
      <c r="R406" s="25">
        <f t="shared" si="194"/>
        <v>94</v>
      </c>
      <c r="S406" s="25">
        <f t="shared" si="194"/>
        <v>94</v>
      </c>
      <c r="T406" s="73"/>
    </row>
    <row r="407" spans="1:20" s="15" customFormat="1" ht="13.2">
      <c r="A407" s="110"/>
      <c r="B407" s="28"/>
      <c r="C407" s="11" t="s">
        <v>250</v>
      </c>
      <c r="D407" s="23"/>
      <c r="E407" s="23"/>
      <c r="F407" s="23"/>
      <c r="G407" s="23"/>
      <c r="H407" s="25"/>
      <c r="I407" s="25"/>
      <c r="J407" s="25"/>
      <c r="K407" s="25"/>
      <c r="L407" s="25"/>
      <c r="M407" s="25"/>
      <c r="N407" s="25"/>
      <c r="O407" s="25"/>
      <c r="P407" s="25"/>
      <c r="Q407" s="25"/>
      <c r="R407" s="25"/>
      <c r="S407" s="25"/>
      <c r="T407" s="73"/>
    </row>
    <row r="408" spans="1:20" s="15" customFormat="1" ht="92.25" customHeight="1">
      <c r="A408" s="110"/>
      <c r="B408" s="11" t="s">
        <v>451</v>
      </c>
      <c r="C408" s="11" t="s">
        <v>346</v>
      </c>
      <c r="D408" s="23" t="s">
        <v>347</v>
      </c>
      <c r="E408" s="24" t="s">
        <v>442</v>
      </c>
      <c r="F408" s="24" t="s">
        <v>452</v>
      </c>
      <c r="G408" s="24" t="s">
        <v>161</v>
      </c>
      <c r="H408" s="25">
        <v>23.4</v>
      </c>
      <c r="I408" s="25">
        <v>23.4</v>
      </c>
      <c r="J408" s="25"/>
      <c r="K408" s="25"/>
      <c r="L408" s="25"/>
      <c r="M408" s="25"/>
      <c r="N408" s="25"/>
      <c r="O408" s="25"/>
      <c r="P408" s="25"/>
      <c r="Q408" s="25"/>
      <c r="R408" s="25"/>
      <c r="S408" s="25"/>
      <c r="T408" s="73"/>
    </row>
    <row r="409" spans="1:20" s="15" customFormat="1" ht="69" customHeight="1">
      <c r="A409" s="110"/>
      <c r="B409" s="52" t="s">
        <v>687</v>
      </c>
      <c r="C409" s="52" t="s">
        <v>346</v>
      </c>
      <c r="D409" s="23" t="s">
        <v>347</v>
      </c>
      <c r="E409" s="24" t="s">
        <v>442</v>
      </c>
      <c r="F409" s="24" t="s">
        <v>686</v>
      </c>
      <c r="G409" s="24" t="s">
        <v>609</v>
      </c>
      <c r="H409" s="25"/>
      <c r="I409" s="25"/>
      <c r="J409" s="25"/>
      <c r="K409" s="25"/>
      <c r="L409" s="25"/>
      <c r="M409" s="25"/>
      <c r="N409" s="25">
        <v>93</v>
      </c>
      <c r="O409" s="25"/>
      <c r="P409" s="25">
        <v>93</v>
      </c>
      <c r="Q409" s="25">
        <v>93</v>
      </c>
      <c r="R409" s="25"/>
      <c r="S409" s="25"/>
      <c r="T409" s="73"/>
    </row>
    <row r="410" spans="1:20" s="15" customFormat="1" ht="69" customHeight="1">
      <c r="A410" s="111"/>
      <c r="B410" s="11" t="s">
        <v>453</v>
      </c>
      <c r="C410" s="11" t="s">
        <v>439</v>
      </c>
      <c r="D410" s="23" t="s">
        <v>59</v>
      </c>
      <c r="E410" s="23" t="s">
        <v>454</v>
      </c>
      <c r="F410" s="23" t="s">
        <v>455</v>
      </c>
      <c r="G410" s="23" t="s">
        <v>573</v>
      </c>
      <c r="H410" s="25">
        <v>79</v>
      </c>
      <c r="I410" s="25">
        <v>69</v>
      </c>
      <c r="J410" s="25"/>
      <c r="K410" s="25"/>
      <c r="L410" s="25">
        <v>56</v>
      </c>
      <c r="M410" s="25">
        <v>56</v>
      </c>
      <c r="N410" s="25">
        <v>66</v>
      </c>
      <c r="O410" s="25">
        <v>66</v>
      </c>
      <c r="P410" s="25">
        <v>79</v>
      </c>
      <c r="Q410" s="25">
        <v>79</v>
      </c>
      <c r="R410" s="25">
        <f>15+79</f>
        <v>94</v>
      </c>
      <c r="S410" s="25">
        <f>15+79</f>
        <v>94</v>
      </c>
      <c r="T410" s="75"/>
    </row>
    <row r="411" spans="1:20" s="22" customFormat="1" ht="33.75" customHeight="1">
      <c r="A411" s="133" t="s">
        <v>456</v>
      </c>
      <c r="B411" s="134"/>
      <c r="C411" s="17" t="s">
        <v>57</v>
      </c>
      <c r="D411" s="18"/>
      <c r="E411" s="18"/>
      <c r="F411" s="18"/>
      <c r="G411" s="18"/>
      <c r="H411" s="20">
        <f>H413+H414+H415</f>
        <v>8683.5936000000002</v>
      </c>
      <c r="I411" s="20">
        <f>I413+I414+I415</f>
        <v>7231.9248100000013</v>
      </c>
      <c r="J411" s="20">
        <f t="shared" ref="J411:O411" si="195">J413+J414+J415</f>
        <v>0</v>
      </c>
      <c r="K411" s="20">
        <f t="shared" si="195"/>
        <v>0</v>
      </c>
      <c r="L411" s="20">
        <f t="shared" si="195"/>
        <v>4113.875</v>
      </c>
      <c r="M411" s="20">
        <f t="shared" si="195"/>
        <v>4061.4349999999999</v>
      </c>
      <c r="N411" s="20">
        <f t="shared" si="195"/>
        <v>6171.4250000000002</v>
      </c>
      <c r="O411" s="20">
        <f t="shared" si="195"/>
        <v>6171.4250000000002</v>
      </c>
      <c r="P411" s="20">
        <f>P413+P414+P415</f>
        <v>22107.868999999999</v>
      </c>
      <c r="Q411" s="20">
        <f>Q413+Q414+Q415</f>
        <v>22107.868999999999</v>
      </c>
      <c r="R411" s="20">
        <f t="shared" ref="R411:S411" si="196">R413+R414+R415</f>
        <v>8306.1</v>
      </c>
      <c r="S411" s="20">
        <f t="shared" si="196"/>
        <v>8327.34</v>
      </c>
      <c r="T411" s="76"/>
    </row>
    <row r="412" spans="1:20" s="22" customFormat="1" ht="19.5" customHeight="1">
      <c r="A412" s="133"/>
      <c r="B412" s="134"/>
      <c r="C412" s="17" t="s">
        <v>250</v>
      </c>
      <c r="D412" s="18"/>
      <c r="E412" s="18"/>
      <c r="F412" s="18"/>
      <c r="G412" s="18"/>
      <c r="H412" s="19"/>
      <c r="I412" s="19"/>
      <c r="J412" s="19"/>
      <c r="K412" s="19"/>
      <c r="L412" s="19"/>
      <c r="M412" s="19"/>
      <c r="N412" s="19"/>
      <c r="O412" s="19"/>
      <c r="P412" s="19"/>
      <c r="Q412" s="19"/>
      <c r="R412" s="19"/>
      <c r="S412" s="19"/>
      <c r="T412" s="76"/>
    </row>
    <row r="413" spans="1:20" s="22" customFormat="1" ht="33.75" customHeight="1">
      <c r="A413" s="133"/>
      <c r="B413" s="134"/>
      <c r="C413" s="17" t="s">
        <v>346</v>
      </c>
      <c r="D413" s="26" t="s">
        <v>347</v>
      </c>
      <c r="E413" s="18"/>
      <c r="F413" s="18"/>
      <c r="G413" s="18"/>
      <c r="H413" s="19">
        <f t="shared" ref="H413:O413" si="197">H418+H431+H437</f>
        <v>833.21495999999991</v>
      </c>
      <c r="I413" s="19">
        <f t="shared" si="197"/>
        <v>247.08995999999999</v>
      </c>
      <c r="J413" s="19">
        <f t="shared" si="197"/>
        <v>0</v>
      </c>
      <c r="K413" s="19">
        <f t="shared" si="197"/>
        <v>0</v>
      </c>
      <c r="L413" s="19">
        <f t="shared" si="197"/>
        <v>585.625</v>
      </c>
      <c r="M413" s="19">
        <f t="shared" si="197"/>
        <v>585.625</v>
      </c>
      <c r="N413" s="19">
        <f t="shared" si="197"/>
        <v>2643.1750000000002</v>
      </c>
      <c r="O413" s="19">
        <f t="shared" si="197"/>
        <v>2643.1750000000002</v>
      </c>
      <c r="P413" s="19">
        <f>P418+P431+P437</f>
        <v>18579.618999999999</v>
      </c>
      <c r="Q413" s="19">
        <f>Q418+Q431+Q437</f>
        <v>18579.618999999999</v>
      </c>
      <c r="R413" s="19">
        <f t="shared" ref="R413:S413" si="198">R418+R431+R437</f>
        <v>8306.1</v>
      </c>
      <c r="S413" s="19">
        <f t="shared" si="198"/>
        <v>8327.34</v>
      </c>
      <c r="T413" s="76"/>
    </row>
    <row r="414" spans="1:20" s="22" customFormat="1" ht="18" customHeight="1">
      <c r="A414" s="133"/>
      <c r="B414" s="134"/>
      <c r="C414" s="17" t="s">
        <v>437</v>
      </c>
      <c r="D414" s="26" t="s">
        <v>438</v>
      </c>
      <c r="E414" s="18"/>
      <c r="F414" s="18"/>
      <c r="G414" s="18"/>
      <c r="H414" s="19">
        <f t="shared" ref="H414:O414" si="199">H420+H438+H439</f>
        <v>7733.2</v>
      </c>
      <c r="I414" s="19">
        <f t="shared" si="199"/>
        <v>6926.1310200000007</v>
      </c>
      <c r="J414" s="19">
        <f t="shared" si="199"/>
        <v>0</v>
      </c>
      <c r="K414" s="19">
        <f t="shared" si="199"/>
        <v>0</v>
      </c>
      <c r="L414" s="19">
        <f t="shared" si="199"/>
        <v>3528.25</v>
      </c>
      <c r="M414" s="19">
        <f t="shared" si="199"/>
        <v>3475.81</v>
      </c>
      <c r="N414" s="19">
        <f t="shared" si="199"/>
        <v>3528.25</v>
      </c>
      <c r="O414" s="19">
        <f t="shared" si="199"/>
        <v>3528.25</v>
      </c>
      <c r="P414" s="19">
        <f>P420+P438+P439</f>
        <v>3528.25</v>
      </c>
      <c r="Q414" s="19">
        <f t="shared" ref="Q414:S414" si="200">Q420+Q438+Q439</f>
        <v>3528.25</v>
      </c>
      <c r="R414" s="19">
        <f t="shared" si="200"/>
        <v>0</v>
      </c>
      <c r="S414" s="19">
        <f t="shared" si="200"/>
        <v>0</v>
      </c>
      <c r="T414" s="76"/>
    </row>
    <row r="415" spans="1:20" s="22" customFormat="1" ht="30.75" customHeight="1">
      <c r="A415" s="133"/>
      <c r="B415" s="134"/>
      <c r="C415" s="17" t="s">
        <v>457</v>
      </c>
      <c r="D415" s="26" t="s">
        <v>155</v>
      </c>
      <c r="E415" s="18"/>
      <c r="F415" s="18"/>
      <c r="G415" s="18"/>
      <c r="H415" s="19">
        <f>H419</f>
        <v>117.17864</v>
      </c>
      <c r="I415" s="19">
        <f>I419</f>
        <v>58.703830000000004</v>
      </c>
      <c r="J415" s="19">
        <f t="shared" ref="J415:O415" si="201">J419</f>
        <v>0</v>
      </c>
      <c r="K415" s="19">
        <f t="shared" si="201"/>
        <v>0</v>
      </c>
      <c r="L415" s="19">
        <f t="shared" si="201"/>
        <v>0</v>
      </c>
      <c r="M415" s="19">
        <f t="shared" si="201"/>
        <v>0</v>
      </c>
      <c r="N415" s="19">
        <f t="shared" si="201"/>
        <v>0</v>
      </c>
      <c r="O415" s="19">
        <f t="shared" si="201"/>
        <v>0</v>
      </c>
      <c r="P415" s="19">
        <f>P419</f>
        <v>0</v>
      </c>
      <c r="Q415" s="19">
        <f>Q419</f>
        <v>0</v>
      </c>
      <c r="R415" s="19">
        <f t="shared" ref="R415:S415" si="202">R419</f>
        <v>0</v>
      </c>
      <c r="S415" s="19">
        <f t="shared" si="202"/>
        <v>0</v>
      </c>
      <c r="T415" s="76"/>
    </row>
    <row r="416" spans="1:20" s="15" customFormat="1" ht="26.4">
      <c r="A416" s="106" t="s">
        <v>458</v>
      </c>
      <c r="B416" s="11"/>
      <c r="C416" s="11" t="s">
        <v>57</v>
      </c>
      <c r="D416" s="23"/>
      <c r="E416" s="24"/>
      <c r="F416" s="24"/>
      <c r="G416" s="24"/>
      <c r="H416" s="25">
        <f>H418+H419+H420</f>
        <v>1035.3935999999999</v>
      </c>
      <c r="I416" s="25">
        <f>I418+I419+I420</f>
        <v>291.79379</v>
      </c>
      <c r="J416" s="25">
        <f t="shared" ref="J416:O416" si="203">J418+J419+J420</f>
        <v>0</v>
      </c>
      <c r="K416" s="25">
        <f t="shared" si="203"/>
        <v>0</v>
      </c>
      <c r="L416" s="25">
        <f t="shared" si="203"/>
        <v>684.625</v>
      </c>
      <c r="M416" s="25">
        <f t="shared" si="203"/>
        <v>684.625</v>
      </c>
      <c r="N416" s="25">
        <f t="shared" si="203"/>
        <v>684.625</v>
      </c>
      <c r="O416" s="25">
        <f t="shared" si="203"/>
        <v>684.625</v>
      </c>
      <c r="P416" s="25">
        <f>P418+P419+P420</f>
        <v>684.625</v>
      </c>
      <c r="Q416" s="25">
        <f>Q418+Q419+Q420</f>
        <v>684.625</v>
      </c>
      <c r="R416" s="25">
        <f t="shared" ref="R416:S416" si="204">R418+R419+R420</f>
        <v>0</v>
      </c>
      <c r="S416" s="25">
        <f t="shared" si="204"/>
        <v>0</v>
      </c>
      <c r="T416" s="73"/>
    </row>
    <row r="417" spans="1:20" s="15" customFormat="1" ht="13.2">
      <c r="A417" s="106"/>
      <c r="B417" s="11"/>
      <c r="C417" s="11" t="s">
        <v>131</v>
      </c>
      <c r="D417" s="23"/>
      <c r="E417" s="24"/>
      <c r="F417" s="24"/>
      <c r="G417" s="24"/>
      <c r="H417" s="25"/>
      <c r="I417" s="25"/>
      <c r="J417" s="25"/>
      <c r="K417" s="25"/>
      <c r="L417" s="25"/>
      <c r="M417" s="25"/>
      <c r="N417" s="25"/>
      <c r="O417" s="25"/>
      <c r="P417" s="25"/>
      <c r="Q417" s="25"/>
      <c r="R417" s="25"/>
      <c r="S417" s="25"/>
      <c r="T417" s="73"/>
    </row>
    <row r="418" spans="1:20" s="15" customFormat="1" ht="26.4">
      <c r="A418" s="106"/>
      <c r="B418" s="27"/>
      <c r="C418" s="11" t="s">
        <v>346</v>
      </c>
      <c r="D418" s="23" t="s">
        <v>347</v>
      </c>
      <c r="E418" s="24"/>
      <c r="F418" s="24"/>
      <c r="G418" s="24"/>
      <c r="H418" s="25">
        <f t="shared" ref="H418:O418" si="205">H421+H423+H425+H426+H429+H430</f>
        <v>819.21495999999991</v>
      </c>
      <c r="I418" s="25">
        <f t="shared" si="205"/>
        <v>233.08995999999999</v>
      </c>
      <c r="J418" s="25">
        <f t="shared" si="205"/>
        <v>0</v>
      </c>
      <c r="K418" s="25">
        <f t="shared" si="205"/>
        <v>0</v>
      </c>
      <c r="L418" s="25">
        <f t="shared" si="205"/>
        <v>585.625</v>
      </c>
      <c r="M418" s="25">
        <f t="shared" si="205"/>
        <v>585.625</v>
      </c>
      <c r="N418" s="25">
        <f t="shared" si="205"/>
        <v>585.625</v>
      </c>
      <c r="O418" s="25">
        <f t="shared" si="205"/>
        <v>585.625</v>
      </c>
      <c r="P418" s="25">
        <f>P421+P423+P425+P426+P429+P430</f>
        <v>585.625</v>
      </c>
      <c r="Q418" s="25">
        <f>Q421+Q423+Q425+Q426+Q429+Q430</f>
        <v>585.625</v>
      </c>
      <c r="R418" s="25"/>
      <c r="S418" s="25"/>
      <c r="T418" s="73"/>
    </row>
    <row r="419" spans="1:20" s="15" customFormat="1" ht="30" customHeight="1">
      <c r="A419" s="106"/>
      <c r="B419" s="27"/>
      <c r="C419" s="11" t="s">
        <v>457</v>
      </c>
      <c r="D419" s="23" t="s">
        <v>155</v>
      </c>
      <c r="E419" s="24"/>
      <c r="F419" s="24"/>
      <c r="G419" s="24"/>
      <c r="H419" s="25">
        <f>H422+H427+H428</f>
        <v>117.17864</v>
      </c>
      <c r="I419" s="25">
        <f>I422+I427+I428</f>
        <v>58.703830000000004</v>
      </c>
      <c r="J419" s="25">
        <f t="shared" ref="J419:O419" si="206">J422+J427+J428</f>
        <v>0</v>
      </c>
      <c r="K419" s="25">
        <f t="shared" si="206"/>
        <v>0</v>
      </c>
      <c r="L419" s="25">
        <f t="shared" si="206"/>
        <v>0</v>
      </c>
      <c r="M419" s="25">
        <f t="shared" si="206"/>
        <v>0</v>
      </c>
      <c r="N419" s="25">
        <f t="shared" si="206"/>
        <v>0</v>
      </c>
      <c r="O419" s="25">
        <f t="shared" si="206"/>
        <v>0</v>
      </c>
      <c r="P419" s="25">
        <f>P422+P427+P428</f>
        <v>0</v>
      </c>
      <c r="Q419" s="25">
        <f>Q422+Q427+Q428</f>
        <v>0</v>
      </c>
      <c r="R419" s="25"/>
      <c r="S419" s="25"/>
      <c r="T419" s="73"/>
    </row>
    <row r="420" spans="1:20" s="15" customFormat="1" ht="13.2">
      <c r="A420" s="106"/>
      <c r="B420" s="27"/>
      <c r="C420" s="11" t="s">
        <v>437</v>
      </c>
      <c r="D420" s="23" t="s">
        <v>438</v>
      </c>
      <c r="E420" s="24"/>
      <c r="F420" s="24"/>
      <c r="G420" s="24"/>
      <c r="H420" s="25">
        <f>H424</f>
        <v>99</v>
      </c>
      <c r="I420" s="25">
        <f>I424</f>
        <v>0</v>
      </c>
      <c r="J420" s="25">
        <f t="shared" ref="J420:O420" si="207">J424</f>
        <v>0</v>
      </c>
      <c r="K420" s="25">
        <f t="shared" si="207"/>
        <v>0</v>
      </c>
      <c r="L420" s="25">
        <f t="shared" si="207"/>
        <v>99</v>
      </c>
      <c r="M420" s="25">
        <f t="shared" si="207"/>
        <v>99</v>
      </c>
      <c r="N420" s="25">
        <f t="shared" si="207"/>
        <v>99</v>
      </c>
      <c r="O420" s="25">
        <f t="shared" si="207"/>
        <v>99</v>
      </c>
      <c r="P420" s="25">
        <f>P424</f>
        <v>99</v>
      </c>
      <c r="Q420" s="25">
        <f>Q424</f>
        <v>99</v>
      </c>
      <c r="R420" s="25"/>
      <c r="S420" s="25"/>
      <c r="T420" s="73"/>
    </row>
    <row r="421" spans="1:20" s="15" customFormat="1" ht="32.25" customHeight="1">
      <c r="A421" s="106"/>
      <c r="B421" s="109" t="s">
        <v>459</v>
      </c>
      <c r="C421" s="11" t="s">
        <v>346</v>
      </c>
      <c r="D421" s="23" t="s">
        <v>347</v>
      </c>
      <c r="E421" s="23" t="s">
        <v>64</v>
      </c>
      <c r="F421" s="23" t="s">
        <v>460</v>
      </c>
      <c r="G421" s="23" t="s">
        <v>63</v>
      </c>
      <c r="H421" s="25">
        <v>61.190770000000001</v>
      </c>
      <c r="I421" s="25">
        <v>61.190770000000001</v>
      </c>
      <c r="J421" s="25"/>
      <c r="K421" s="25"/>
      <c r="L421" s="25"/>
      <c r="M421" s="25"/>
      <c r="N421" s="25"/>
      <c r="O421" s="25"/>
      <c r="P421" s="25"/>
      <c r="Q421" s="25"/>
      <c r="R421" s="25"/>
      <c r="S421" s="25"/>
      <c r="T421" s="73"/>
    </row>
    <row r="422" spans="1:20" s="15" customFormat="1" ht="29.25" customHeight="1">
      <c r="A422" s="106"/>
      <c r="B422" s="111"/>
      <c r="C422" s="11" t="s">
        <v>457</v>
      </c>
      <c r="D422" s="23" t="s">
        <v>155</v>
      </c>
      <c r="E422" s="23" t="s">
        <v>156</v>
      </c>
      <c r="F422" s="23" t="s">
        <v>460</v>
      </c>
      <c r="G422" s="23" t="s">
        <v>63</v>
      </c>
      <c r="H422" s="25">
        <v>58.703830000000004</v>
      </c>
      <c r="I422" s="25">
        <v>58.703830000000004</v>
      </c>
      <c r="J422" s="25"/>
      <c r="K422" s="25"/>
      <c r="L422" s="25"/>
      <c r="M422" s="25"/>
      <c r="N422" s="25"/>
      <c r="O422" s="25"/>
      <c r="P422" s="25"/>
      <c r="Q422" s="25"/>
      <c r="R422" s="25"/>
      <c r="S422" s="25"/>
      <c r="T422" s="73"/>
    </row>
    <row r="423" spans="1:20" s="15" customFormat="1" ht="43.5" customHeight="1">
      <c r="A423" s="106"/>
      <c r="B423" s="11" t="s">
        <v>461</v>
      </c>
      <c r="C423" s="11" t="s">
        <v>346</v>
      </c>
      <c r="D423" s="23" t="s">
        <v>347</v>
      </c>
      <c r="E423" s="23" t="s">
        <v>462</v>
      </c>
      <c r="F423" s="23" t="s">
        <v>463</v>
      </c>
      <c r="G423" s="23" t="s">
        <v>141</v>
      </c>
      <c r="H423" s="25">
        <v>169.5</v>
      </c>
      <c r="I423" s="25">
        <v>169.5</v>
      </c>
      <c r="J423" s="25"/>
      <c r="K423" s="25"/>
      <c r="L423" s="25"/>
      <c r="M423" s="25"/>
      <c r="N423" s="25"/>
      <c r="O423" s="25"/>
      <c r="P423" s="25"/>
      <c r="Q423" s="25"/>
      <c r="R423" s="25"/>
      <c r="S423" s="25"/>
      <c r="T423" s="73"/>
    </row>
    <row r="424" spans="1:20" s="15" customFormat="1" ht="36" customHeight="1">
      <c r="A424" s="106"/>
      <c r="B424" s="109" t="s">
        <v>464</v>
      </c>
      <c r="C424" s="11" t="s">
        <v>437</v>
      </c>
      <c r="D424" s="23" t="s">
        <v>438</v>
      </c>
      <c r="E424" s="23" t="s">
        <v>462</v>
      </c>
      <c r="F424" s="23" t="s">
        <v>465</v>
      </c>
      <c r="G424" s="23" t="s">
        <v>584</v>
      </c>
      <c r="H424" s="25">
        <v>99</v>
      </c>
      <c r="I424" s="25">
        <v>0</v>
      </c>
      <c r="J424" s="25"/>
      <c r="K424" s="25"/>
      <c r="L424" s="25">
        <v>99</v>
      </c>
      <c r="M424" s="25">
        <v>99</v>
      </c>
      <c r="N424" s="25">
        <v>99</v>
      </c>
      <c r="O424" s="25">
        <v>99</v>
      </c>
      <c r="P424" s="25">
        <v>99</v>
      </c>
      <c r="Q424" s="25">
        <v>99</v>
      </c>
      <c r="R424" s="25"/>
      <c r="S424" s="25"/>
      <c r="T424" s="75"/>
    </row>
    <row r="425" spans="1:20" s="15" customFormat="1" ht="26.4">
      <c r="A425" s="106"/>
      <c r="B425" s="111"/>
      <c r="C425" s="11" t="s">
        <v>346</v>
      </c>
      <c r="D425" s="23" t="s">
        <v>347</v>
      </c>
      <c r="E425" s="23" t="s">
        <v>462</v>
      </c>
      <c r="F425" s="23" t="s">
        <v>465</v>
      </c>
      <c r="G425" s="23" t="s">
        <v>466</v>
      </c>
      <c r="H425" s="25">
        <v>446.125</v>
      </c>
      <c r="I425" s="25">
        <v>0</v>
      </c>
      <c r="J425" s="25"/>
      <c r="K425" s="25"/>
      <c r="L425" s="25">
        <v>446.125</v>
      </c>
      <c r="M425" s="25">
        <v>446.125</v>
      </c>
      <c r="N425" s="25">
        <v>446.125</v>
      </c>
      <c r="O425" s="25">
        <v>446.125</v>
      </c>
      <c r="P425" s="25">
        <v>446.125</v>
      </c>
      <c r="Q425" s="25">
        <v>446.125</v>
      </c>
      <c r="R425" s="25"/>
      <c r="S425" s="25"/>
      <c r="T425" s="75"/>
    </row>
    <row r="426" spans="1:20" s="15" customFormat="1" ht="39.6">
      <c r="A426" s="106"/>
      <c r="B426" s="11" t="s">
        <v>467</v>
      </c>
      <c r="C426" s="11" t="s">
        <v>346</v>
      </c>
      <c r="D426" s="23" t="s">
        <v>347</v>
      </c>
      <c r="E426" s="23" t="s">
        <v>462</v>
      </c>
      <c r="F426" s="23" t="s">
        <v>468</v>
      </c>
      <c r="G426" s="23" t="s">
        <v>584</v>
      </c>
      <c r="H426" s="25">
        <v>140</v>
      </c>
      <c r="I426" s="25">
        <v>0</v>
      </c>
      <c r="J426" s="25"/>
      <c r="K426" s="25"/>
      <c r="L426" s="25">
        <v>139.5</v>
      </c>
      <c r="M426" s="25">
        <v>139.5</v>
      </c>
      <c r="N426" s="25">
        <v>139.5</v>
      </c>
      <c r="O426" s="25">
        <v>139.5</v>
      </c>
      <c r="P426" s="25">
        <v>139.5</v>
      </c>
      <c r="Q426" s="25">
        <v>139.5</v>
      </c>
      <c r="R426" s="25"/>
      <c r="S426" s="25"/>
      <c r="T426" s="75"/>
    </row>
    <row r="427" spans="1:20" s="15" customFormat="1" ht="79.2">
      <c r="A427" s="106"/>
      <c r="B427" s="11" t="s">
        <v>469</v>
      </c>
      <c r="C427" s="11" t="s">
        <v>457</v>
      </c>
      <c r="D427" s="23" t="s">
        <v>155</v>
      </c>
      <c r="E427" s="23" t="s">
        <v>156</v>
      </c>
      <c r="F427" s="23" t="s">
        <v>470</v>
      </c>
      <c r="G427" s="23" t="s">
        <v>63</v>
      </c>
      <c r="H427" s="25">
        <v>13.55</v>
      </c>
      <c r="I427" s="25">
        <v>0</v>
      </c>
      <c r="J427" s="25"/>
      <c r="K427" s="25"/>
      <c r="L427" s="25"/>
      <c r="M427" s="25"/>
      <c r="N427" s="25"/>
      <c r="O427" s="25"/>
      <c r="P427" s="25"/>
      <c r="Q427" s="25"/>
      <c r="R427" s="25"/>
      <c r="S427" s="25"/>
      <c r="T427" s="75"/>
    </row>
    <row r="428" spans="1:20" s="15" customFormat="1" ht="52.8">
      <c r="A428" s="106"/>
      <c r="B428" s="11" t="s">
        <v>471</v>
      </c>
      <c r="C428" s="11" t="s">
        <v>457</v>
      </c>
      <c r="D428" s="23" t="s">
        <v>155</v>
      </c>
      <c r="E428" s="23" t="s">
        <v>156</v>
      </c>
      <c r="F428" s="23" t="s">
        <v>472</v>
      </c>
      <c r="G428" s="23" t="s">
        <v>63</v>
      </c>
      <c r="H428" s="25">
        <v>44.924810000000001</v>
      </c>
      <c r="I428" s="25">
        <v>0</v>
      </c>
      <c r="J428" s="25"/>
      <c r="K428" s="25"/>
      <c r="L428" s="25"/>
      <c r="M428" s="25"/>
      <c r="N428" s="25"/>
      <c r="O428" s="25"/>
      <c r="P428" s="25"/>
      <c r="Q428" s="25"/>
      <c r="R428" s="25"/>
      <c r="S428" s="25"/>
      <c r="T428" s="75"/>
    </row>
    <row r="429" spans="1:20" s="15" customFormat="1" ht="66.75" customHeight="1">
      <c r="A429" s="106"/>
      <c r="B429" s="11" t="s">
        <v>473</v>
      </c>
      <c r="C429" s="11" t="s">
        <v>346</v>
      </c>
      <c r="D429" s="23" t="s">
        <v>347</v>
      </c>
      <c r="E429" s="23" t="s">
        <v>64</v>
      </c>
      <c r="F429" s="23" t="s">
        <v>474</v>
      </c>
      <c r="G429" s="23" t="s">
        <v>63</v>
      </c>
      <c r="H429" s="25">
        <v>6.1190000000000001E-2</v>
      </c>
      <c r="I429" s="25">
        <v>6.1190000000000001E-2</v>
      </c>
      <c r="J429" s="25"/>
      <c r="K429" s="25"/>
      <c r="L429" s="25"/>
      <c r="M429" s="25"/>
      <c r="N429" s="25"/>
      <c r="O429" s="25"/>
      <c r="P429" s="25"/>
      <c r="Q429" s="25"/>
      <c r="R429" s="25"/>
      <c r="S429" s="25"/>
      <c r="T429" s="73"/>
    </row>
    <row r="430" spans="1:20" s="15" customFormat="1" ht="52.8">
      <c r="A430" s="106"/>
      <c r="B430" s="11" t="s">
        <v>475</v>
      </c>
      <c r="C430" s="11" t="s">
        <v>346</v>
      </c>
      <c r="D430" s="23" t="s">
        <v>347</v>
      </c>
      <c r="E430" s="23" t="s">
        <v>462</v>
      </c>
      <c r="F430" s="23" t="s">
        <v>476</v>
      </c>
      <c r="G430" s="23" t="s">
        <v>141</v>
      </c>
      <c r="H430" s="25">
        <v>2.3380000000000001</v>
      </c>
      <c r="I430" s="25">
        <v>2.3380000000000001</v>
      </c>
      <c r="J430" s="25"/>
      <c r="K430" s="25"/>
      <c r="L430" s="25"/>
      <c r="M430" s="25"/>
      <c r="N430" s="25"/>
      <c r="O430" s="25"/>
      <c r="P430" s="25"/>
      <c r="Q430" s="25"/>
      <c r="R430" s="25"/>
      <c r="S430" s="25"/>
      <c r="T430" s="73"/>
    </row>
    <row r="431" spans="1:20" s="15" customFormat="1" ht="12.75" customHeight="1">
      <c r="A431" s="106" t="s">
        <v>477</v>
      </c>
      <c r="B431" s="52"/>
      <c r="C431" s="11" t="s">
        <v>57</v>
      </c>
      <c r="D431" s="23"/>
      <c r="E431" s="24"/>
      <c r="F431" s="24"/>
      <c r="G431" s="24"/>
      <c r="H431" s="25">
        <f t="shared" ref="H431:O431" si="208">H434+H432+H433</f>
        <v>14</v>
      </c>
      <c r="I431" s="25">
        <f t="shared" si="208"/>
        <v>14</v>
      </c>
      <c r="J431" s="25">
        <f t="shared" si="208"/>
        <v>0</v>
      </c>
      <c r="K431" s="25">
        <f t="shared" si="208"/>
        <v>0</v>
      </c>
      <c r="L431" s="25">
        <f t="shared" si="208"/>
        <v>0</v>
      </c>
      <c r="M431" s="25">
        <f t="shared" si="208"/>
        <v>0</v>
      </c>
      <c r="N431" s="25">
        <f t="shared" si="208"/>
        <v>0</v>
      </c>
      <c r="O431" s="25">
        <f t="shared" si="208"/>
        <v>0</v>
      </c>
      <c r="P431" s="25">
        <f>P434+P432+P433</f>
        <v>5848</v>
      </c>
      <c r="Q431" s="25">
        <f t="shared" ref="Q431:S431" si="209">Q434+Q432+Q433</f>
        <v>5848</v>
      </c>
      <c r="R431" s="25">
        <f t="shared" si="209"/>
        <v>75.900000000000006</v>
      </c>
      <c r="S431" s="25">
        <f t="shared" si="209"/>
        <v>97.14</v>
      </c>
      <c r="T431" s="73"/>
    </row>
    <row r="432" spans="1:20" s="15" customFormat="1" ht="75.75" customHeight="1">
      <c r="A432" s="106"/>
      <c r="B432" s="109" t="s">
        <v>689</v>
      </c>
      <c r="C432" s="109" t="s">
        <v>350</v>
      </c>
      <c r="D432" s="23" t="s">
        <v>347</v>
      </c>
      <c r="E432" s="23" t="s">
        <v>462</v>
      </c>
      <c r="F432" s="23" t="s">
        <v>688</v>
      </c>
      <c r="G432" s="23" t="s">
        <v>589</v>
      </c>
      <c r="H432" s="25"/>
      <c r="I432" s="25"/>
      <c r="J432" s="25"/>
      <c r="K432" s="25"/>
      <c r="L432" s="25"/>
      <c r="M432" s="25"/>
      <c r="N432" s="25"/>
      <c r="O432" s="25"/>
      <c r="P432" s="25">
        <v>4800</v>
      </c>
      <c r="Q432" s="25">
        <v>4800</v>
      </c>
      <c r="R432" s="25"/>
      <c r="S432" s="25"/>
      <c r="T432" s="73"/>
    </row>
    <row r="433" spans="1:20" s="15" customFormat="1" ht="75.75" customHeight="1">
      <c r="A433" s="106"/>
      <c r="B433" s="110"/>
      <c r="C433" s="110"/>
      <c r="D433" s="23" t="s">
        <v>347</v>
      </c>
      <c r="E433" s="23" t="s">
        <v>462</v>
      </c>
      <c r="F433" s="23" t="s">
        <v>688</v>
      </c>
      <c r="G433" s="23" t="s">
        <v>619</v>
      </c>
      <c r="H433" s="25"/>
      <c r="I433" s="25"/>
      <c r="J433" s="25"/>
      <c r="K433" s="25"/>
      <c r="L433" s="25"/>
      <c r="M433" s="25"/>
      <c r="N433" s="25"/>
      <c r="O433" s="25"/>
      <c r="P433" s="25">
        <v>1000</v>
      </c>
      <c r="Q433" s="25">
        <v>1000</v>
      </c>
      <c r="R433" s="25"/>
      <c r="S433" s="25"/>
      <c r="T433" s="73"/>
    </row>
    <row r="434" spans="1:20" s="15" customFormat="1" ht="75.75" customHeight="1">
      <c r="A434" s="106"/>
      <c r="B434" s="111"/>
      <c r="C434" s="111"/>
      <c r="D434" s="23" t="s">
        <v>347</v>
      </c>
      <c r="E434" s="23" t="s">
        <v>462</v>
      </c>
      <c r="F434" s="23" t="s">
        <v>478</v>
      </c>
      <c r="G434" s="23" t="s">
        <v>589</v>
      </c>
      <c r="H434" s="25">
        <v>14</v>
      </c>
      <c r="I434" s="25">
        <v>14</v>
      </c>
      <c r="J434" s="25"/>
      <c r="K434" s="25"/>
      <c r="L434" s="25"/>
      <c r="M434" s="25"/>
      <c r="N434" s="25"/>
      <c r="O434" s="25"/>
      <c r="P434" s="25">
        <v>48</v>
      </c>
      <c r="Q434" s="25">
        <v>48</v>
      </c>
      <c r="R434" s="25">
        <v>75.900000000000006</v>
      </c>
      <c r="S434" s="25">
        <v>97.14</v>
      </c>
      <c r="T434" s="73"/>
    </row>
    <row r="435" spans="1:20" s="15" customFormat="1" ht="12.75" customHeight="1">
      <c r="A435" s="109" t="s">
        <v>130</v>
      </c>
      <c r="B435" s="109" t="s">
        <v>479</v>
      </c>
      <c r="C435" s="11" t="s">
        <v>57</v>
      </c>
      <c r="D435" s="23"/>
      <c r="E435" s="23"/>
      <c r="F435" s="23"/>
      <c r="G435" s="23"/>
      <c r="H435" s="25">
        <f t="shared" ref="H435:O435" si="210">H438+H439+H437</f>
        <v>7634.2</v>
      </c>
      <c r="I435" s="25">
        <f t="shared" si="210"/>
        <v>6926.1310200000007</v>
      </c>
      <c r="J435" s="25">
        <f t="shared" si="210"/>
        <v>0</v>
      </c>
      <c r="K435" s="25">
        <f t="shared" si="210"/>
        <v>0</v>
      </c>
      <c r="L435" s="25">
        <f t="shared" si="210"/>
        <v>3429.25</v>
      </c>
      <c r="M435" s="25">
        <f t="shared" si="210"/>
        <v>3376.81</v>
      </c>
      <c r="N435" s="25">
        <f t="shared" si="210"/>
        <v>5486.8</v>
      </c>
      <c r="O435" s="25">
        <f t="shared" si="210"/>
        <v>5486.8</v>
      </c>
      <c r="P435" s="25">
        <f>P438+P439+P437</f>
        <v>15575.244000000001</v>
      </c>
      <c r="Q435" s="25">
        <f t="shared" ref="Q435:S435" si="211">Q438+Q439+Q437</f>
        <v>15575.244000000001</v>
      </c>
      <c r="R435" s="25">
        <f t="shared" si="211"/>
        <v>8230.2000000000007</v>
      </c>
      <c r="S435" s="25">
        <f t="shared" si="211"/>
        <v>8230.2000000000007</v>
      </c>
      <c r="T435" s="73"/>
    </row>
    <row r="436" spans="1:20" s="15" customFormat="1" ht="12.75" customHeight="1">
      <c r="A436" s="110"/>
      <c r="B436" s="110"/>
      <c r="C436" s="54" t="s">
        <v>250</v>
      </c>
      <c r="D436" s="23"/>
      <c r="E436" s="23"/>
      <c r="F436" s="23"/>
      <c r="G436" s="23"/>
      <c r="H436" s="25"/>
      <c r="I436" s="25"/>
      <c r="J436" s="25"/>
      <c r="K436" s="25"/>
      <c r="L436" s="25"/>
      <c r="M436" s="25"/>
      <c r="N436" s="25"/>
      <c r="O436" s="25"/>
      <c r="P436" s="25"/>
      <c r="Q436" s="25"/>
      <c r="R436" s="25"/>
      <c r="S436" s="25"/>
      <c r="T436" s="73"/>
    </row>
    <row r="437" spans="1:20" s="15" customFormat="1" ht="29.25" customHeight="1">
      <c r="A437" s="110"/>
      <c r="B437" s="110"/>
      <c r="C437" s="54" t="s">
        <v>346</v>
      </c>
      <c r="D437" s="23" t="s">
        <v>347</v>
      </c>
      <c r="E437" s="24" t="s">
        <v>480</v>
      </c>
      <c r="F437" s="24" t="s">
        <v>691</v>
      </c>
      <c r="G437" s="24" t="s">
        <v>353</v>
      </c>
      <c r="H437" s="25"/>
      <c r="I437" s="25"/>
      <c r="J437" s="25"/>
      <c r="K437" s="25"/>
      <c r="L437" s="25"/>
      <c r="M437" s="25"/>
      <c r="N437" s="25">
        <v>2057.5500000000002</v>
      </c>
      <c r="O437" s="25">
        <v>2057.5500000000002</v>
      </c>
      <c r="P437" s="25">
        <v>12145.994000000001</v>
      </c>
      <c r="Q437" s="25">
        <v>12145.994000000001</v>
      </c>
      <c r="R437" s="25">
        <v>8230.2000000000007</v>
      </c>
      <c r="S437" s="25">
        <v>8230.2000000000007</v>
      </c>
      <c r="T437" s="73"/>
    </row>
    <row r="438" spans="1:20" s="15" customFormat="1" ht="27.75" customHeight="1">
      <c r="A438" s="110"/>
      <c r="B438" s="110"/>
      <c r="C438" s="109" t="s">
        <v>690</v>
      </c>
      <c r="D438" s="23" t="s">
        <v>438</v>
      </c>
      <c r="E438" s="24" t="s">
        <v>480</v>
      </c>
      <c r="F438" s="56" t="s">
        <v>692</v>
      </c>
      <c r="G438" s="24" t="s">
        <v>353</v>
      </c>
      <c r="H438" s="25">
        <v>4606.3761999999997</v>
      </c>
      <c r="I438" s="25">
        <v>3968.0820800000001</v>
      </c>
      <c r="J438" s="25"/>
      <c r="K438" s="25"/>
      <c r="L438" s="25">
        <v>3429.25</v>
      </c>
      <c r="M438" s="25">
        <v>3376.81</v>
      </c>
      <c r="N438" s="25">
        <v>3429.25</v>
      </c>
      <c r="O438" s="25">
        <v>3429.25</v>
      </c>
      <c r="P438" s="25">
        <v>3429.25</v>
      </c>
      <c r="Q438" s="25">
        <v>3429.25</v>
      </c>
      <c r="R438" s="25"/>
      <c r="S438" s="25"/>
      <c r="T438" s="75"/>
    </row>
    <row r="439" spans="1:20" s="15" customFormat="1" ht="27.75" customHeight="1">
      <c r="A439" s="110"/>
      <c r="B439" s="110"/>
      <c r="C439" s="111"/>
      <c r="D439" s="23" t="s">
        <v>438</v>
      </c>
      <c r="E439" s="24" t="s">
        <v>78</v>
      </c>
      <c r="F439" s="24" t="s">
        <v>481</v>
      </c>
      <c r="G439" s="24" t="s">
        <v>257</v>
      </c>
      <c r="H439" s="25">
        <v>3027.8238000000001</v>
      </c>
      <c r="I439" s="25">
        <v>2958.0489400000001</v>
      </c>
      <c r="J439" s="25"/>
      <c r="K439" s="25"/>
      <c r="L439" s="25"/>
      <c r="M439" s="25"/>
      <c r="N439" s="25"/>
      <c r="O439" s="25"/>
      <c r="P439" s="25"/>
      <c r="Q439" s="25"/>
      <c r="R439" s="25"/>
      <c r="S439" s="25"/>
      <c r="T439" s="75"/>
    </row>
    <row r="440" spans="1:20" s="22" customFormat="1" ht="16.5" customHeight="1">
      <c r="A440" s="133" t="s">
        <v>482</v>
      </c>
      <c r="B440" s="134"/>
      <c r="C440" s="17" t="s">
        <v>57</v>
      </c>
      <c r="D440" s="18"/>
      <c r="E440" s="18"/>
      <c r="F440" s="18"/>
      <c r="G440" s="18"/>
      <c r="H440" s="20">
        <f t="shared" ref="H440:O440" si="212">H441+H442</f>
        <v>70546.858999999997</v>
      </c>
      <c r="I440" s="20">
        <f t="shared" si="212"/>
        <v>68594.659</v>
      </c>
      <c r="J440" s="20">
        <f t="shared" si="212"/>
        <v>16595.336599999999</v>
      </c>
      <c r="K440" s="20">
        <f t="shared" si="212"/>
        <v>16569.29423</v>
      </c>
      <c r="L440" s="20">
        <f t="shared" si="212"/>
        <v>32733.487080000003</v>
      </c>
      <c r="M440" s="20">
        <f t="shared" si="212"/>
        <v>32718.678840000004</v>
      </c>
      <c r="N440" s="20">
        <f t="shared" si="212"/>
        <v>46681.711330000006</v>
      </c>
      <c r="O440" s="20">
        <f t="shared" si="212"/>
        <v>46645.176240000001</v>
      </c>
      <c r="P440" s="20">
        <f>P441+P442</f>
        <v>70348.967999999993</v>
      </c>
      <c r="Q440" s="20">
        <f t="shared" ref="Q440:S440" si="213">Q441+Q442</f>
        <v>70335.005499999999</v>
      </c>
      <c r="R440" s="20">
        <f t="shared" si="213"/>
        <v>67307.780999999988</v>
      </c>
      <c r="S440" s="20">
        <f t="shared" si="213"/>
        <v>67307.780999999988</v>
      </c>
      <c r="T440" s="76"/>
    </row>
    <row r="441" spans="1:20" s="22" customFormat="1" ht="55.5" customHeight="1">
      <c r="A441" s="133"/>
      <c r="B441" s="134"/>
      <c r="C441" s="17" t="s">
        <v>483</v>
      </c>
      <c r="D441" s="18" t="s">
        <v>487</v>
      </c>
      <c r="E441" s="18"/>
      <c r="F441" s="18"/>
      <c r="G441" s="18"/>
      <c r="H441" s="19">
        <f t="shared" ref="H441:O441" si="214">H443+H453</f>
        <v>68938.959000000003</v>
      </c>
      <c r="I441" s="19">
        <f>I443+I453</f>
        <v>67020.437000000005</v>
      </c>
      <c r="J441" s="19">
        <f t="shared" si="214"/>
        <v>16226.749</v>
      </c>
      <c r="K441" s="19">
        <f t="shared" si="214"/>
        <v>16226.749</v>
      </c>
      <c r="L441" s="19">
        <f t="shared" si="214"/>
        <v>31744.783000000003</v>
      </c>
      <c r="M441" s="19">
        <f t="shared" si="214"/>
        <v>31744.783000000003</v>
      </c>
      <c r="N441" s="19">
        <f t="shared" si="214"/>
        <v>44886.088000000003</v>
      </c>
      <c r="O441" s="19">
        <f t="shared" si="214"/>
        <v>44886.088000000003</v>
      </c>
      <c r="P441" s="19">
        <f>P443+P453</f>
        <v>67628.06</v>
      </c>
      <c r="Q441" s="19">
        <f t="shared" ref="Q441:S441" si="215">Q443+Q453</f>
        <v>67628.06</v>
      </c>
      <c r="R441" s="19">
        <f t="shared" si="215"/>
        <v>65655.299999999988</v>
      </c>
      <c r="S441" s="19">
        <f t="shared" si="215"/>
        <v>65655.299999999988</v>
      </c>
      <c r="T441" s="76"/>
    </row>
    <row r="442" spans="1:20" s="22" customFormat="1" ht="28.5" customHeight="1">
      <c r="A442" s="53"/>
      <c r="B442" s="55"/>
      <c r="C442" s="55" t="s">
        <v>346</v>
      </c>
      <c r="D442" s="18"/>
      <c r="E442" s="18"/>
      <c r="F442" s="18"/>
      <c r="G442" s="18"/>
      <c r="H442" s="19">
        <f t="shared" ref="H442:O442" si="216">H451+H452</f>
        <v>1607.9</v>
      </c>
      <c r="I442" s="19">
        <f t="shared" si="216"/>
        <v>1574.2220000000002</v>
      </c>
      <c r="J442" s="19">
        <f t="shared" si="216"/>
        <v>368.58759999999995</v>
      </c>
      <c r="K442" s="19">
        <f t="shared" si="216"/>
        <v>342.54523</v>
      </c>
      <c r="L442" s="19">
        <f t="shared" si="216"/>
        <v>988.70407999999998</v>
      </c>
      <c r="M442" s="19">
        <f t="shared" si="216"/>
        <v>973.89583999999991</v>
      </c>
      <c r="N442" s="19">
        <f t="shared" si="216"/>
        <v>1795.6233299999999</v>
      </c>
      <c r="O442" s="19">
        <f t="shared" si="216"/>
        <v>1759.08824</v>
      </c>
      <c r="P442" s="19">
        <f>P451+P452</f>
        <v>2720.9079999999999</v>
      </c>
      <c r="Q442" s="19">
        <f>Q451+Q452</f>
        <v>2706.9454999999998</v>
      </c>
      <c r="R442" s="19">
        <f t="shared" ref="R442:S442" si="217">R451+R452</f>
        <v>1652.481</v>
      </c>
      <c r="S442" s="19">
        <f t="shared" si="217"/>
        <v>1652.481</v>
      </c>
      <c r="T442" s="76"/>
    </row>
    <row r="443" spans="1:20" s="15" customFormat="1" ht="12.75" customHeight="1">
      <c r="A443" s="109" t="s">
        <v>484</v>
      </c>
      <c r="B443" s="11"/>
      <c r="C443" s="11" t="s">
        <v>57</v>
      </c>
      <c r="D443" s="23"/>
      <c r="E443" s="24"/>
      <c r="F443" s="24"/>
      <c r="G443" s="24"/>
      <c r="H443" s="25">
        <f t="shared" ref="H443:O443" si="218">H445+H446+H447+H448</f>
        <v>68757.659</v>
      </c>
      <c r="I443" s="25">
        <f t="shared" si="218"/>
        <v>66839.137000000002</v>
      </c>
      <c r="J443" s="25">
        <f t="shared" si="218"/>
        <v>16165.749</v>
      </c>
      <c r="K443" s="25">
        <f t="shared" si="218"/>
        <v>16165.749</v>
      </c>
      <c r="L443" s="25">
        <f t="shared" si="218"/>
        <v>31622.783000000003</v>
      </c>
      <c r="M443" s="25">
        <f t="shared" si="218"/>
        <v>31622.783000000003</v>
      </c>
      <c r="N443" s="25">
        <f t="shared" si="218"/>
        <v>44703.088000000003</v>
      </c>
      <c r="O443" s="25">
        <f t="shared" si="218"/>
        <v>44703.088000000003</v>
      </c>
      <c r="P443" s="25">
        <f>P445+P446+P447+P448</f>
        <v>67359.06</v>
      </c>
      <c r="Q443" s="25">
        <f t="shared" ref="Q443:S443" si="219">Q445+Q446+Q447+Q448</f>
        <v>67359.06</v>
      </c>
      <c r="R443" s="25">
        <f t="shared" si="219"/>
        <v>65199.299999999996</v>
      </c>
      <c r="S443" s="25">
        <f t="shared" si="219"/>
        <v>65199.299999999996</v>
      </c>
      <c r="T443" s="73"/>
    </row>
    <row r="444" spans="1:20" s="15" customFormat="1" ht="13.2">
      <c r="A444" s="110"/>
      <c r="B444" s="11"/>
      <c r="C444" s="11" t="s">
        <v>250</v>
      </c>
      <c r="D444" s="23"/>
      <c r="E444" s="24"/>
      <c r="F444" s="24"/>
      <c r="G444" s="24"/>
      <c r="H444" s="25"/>
      <c r="I444" s="25"/>
      <c r="J444" s="25"/>
      <c r="K444" s="25"/>
      <c r="L444" s="25"/>
      <c r="M444" s="25"/>
      <c r="N444" s="25"/>
      <c r="O444" s="25"/>
      <c r="P444" s="25"/>
      <c r="Q444" s="25"/>
      <c r="R444" s="25"/>
      <c r="S444" s="25"/>
      <c r="T444" s="73"/>
    </row>
    <row r="445" spans="1:20" s="15" customFormat="1" ht="147.75" customHeight="1">
      <c r="A445" s="110"/>
      <c r="B445" s="11" t="s">
        <v>485</v>
      </c>
      <c r="C445" s="109" t="s">
        <v>486</v>
      </c>
      <c r="D445" s="23" t="s">
        <v>487</v>
      </c>
      <c r="E445" s="24" t="s">
        <v>488</v>
      </c>
      <c r="F445" s="24" t="s">
        <v>489</v>
      </c>
      <c r="G445" s="24" t="s">
        <v>693</v>
      </c>
      <c r="H445" s="25">
        <v>12038.8</v>
      </c>
      <c r="I445" s="25">
        <v>12038.8</v>
      </c>
      <c r="J445" s="25">
        <v>2587.1999999999998</v>
      </c>
      <c r="K445" s="25">
        <v>2587.1999999999998</v>
      </c>
      <c r="L445" s="25">
        <v>5174.3999999999996</v>
      </c>
      <c r="M445" s="25">
        <v>5174.3999999999996</v>
      </c>
      <c r="N445" s="25">
        <v>7761.6</v>
      </c>
      <c r="O445" s="25">
        <v>7761.6</v>
      </c>
      <c r="P445" s="25">
        <v>10348.700000000001</v>
      </c>
      <c r="Q445" s="25">
        <v>10348.700000000001</v>
      </c>
      <c r="R445" s="25">
        <v>8279</v>
      </c>
      <c r="S445" s="25">
        <v>8279</v>
      </c>
      <c r="T445" s="73"/>
    </row>
    <row r="446" spans="1:20" s="15" customFormat="1" ht="92.4">
      <c r="A446" s="110"/>
      <c r="B446" s="11" t="s">
        <v>490</v>
      </c>
      <c r="C446" s="110"/>
      <c r="D446" s="23" t="s">
        <v>487</v>
      </c>
      <c r="E446" s="24" t="s">
        <v>488</v>
      </c>
      <c r="F446" s="24" t="s">
        <v>491</v>
      </c>
      <c r="G446" s="24" t="s">
        <v>693</v>
      </c>
      <c r="H446" s="25">
        <v>28773.98</v>
      </c>
      <c r="I446" s="25">
        <v>27355.457999999999</v>
      </c>
      <c r="J446" s="25">
        <v>12967.549000000001</v>
      </c>
      <c r="K446" s="25">
        <v>12967.549000000001</v>
      </c>
      <c r="L446" s="25">
        <v>22739.125</v>
      </c>
      <c r="M446" s="25">
        <v>22739.125</v>
      </c>
      <c r="N446" s="25">
        <v>25873.891</v>
      </c>
      <c r="O446" s="25">
        <v>25873.891</v>
      </c>
      <c r="P446" s="25">
        <v>28773.98</v>
      </c>
      <c r="Q446" s="25">
        <v>28773.98</v>
      </c>
      <c r="R446" s="25">
        <v>28773.98</v>
      </c>
      <c r="S446" s="25">
        <v>28773.98</v>
      </c>
      <c r="T446" s="75"/>
    </row>
    <row r="447" spans="1:20" s="15" customFormat="1" ht="79.2">
      <c r="A447" s="110"/>
      <c r="B447" s="11" t="s">
        <v>492</v>
      </c>
      <c r="C447" s="110"/>
      <c r="D447" s="23" t="s">
        <v>487</v>
      </c>
      <c r="E447" s="24" t="s">
        <v>493</v>
      </c>
      <c r="F447" s="24" t="s">
        <v>494</v>
      </c>
      <c r="G447" s="24" t="s">
        <v>466</v>
      </c>
      <c r="H447" s="25">
        <v>27892.879000000001</v>
      </c>
      <c r="I447" s="25">
        <v>27392.879000000001</v>
      </c>
      <c r="J447" s="25">
        <v>611</v>
      </c>
      <c r="K447" s="25">
        <v>611</v>
      </c>
      <c r="L447" s="25">
        <v>3709.2579999999998</v>
      </c>
      <c r="M447" s="25">
        <v>3709.2579999999998</v>
      </c>
      <c r="N447" s="25">
        <v>11067.597</v>
      </c>
      <c r="O447" s="25">
        <v>11067.597</v>
      </c>
      <c r="P447" s="25">
        <v>28236.38</v>
      </c>
      <c r="Q447" s="25">
        <v>28236.38</v>
      </c>
      <c r="R447" s="25">
        <v>28146.32</v>
      </c>
      <c r="S447" s="25">
        <v>28146.32</v>
      </c>
      <c r="T447" s="75"/>
    </row>
    <row r="448" spans="1:20" s="15" customFormat="1" ht="105.6">
      <c r="A448" s="111"/>
      <c r="B448" s="11" t="s">
        <v>495</v>
      </c>
      <c r="C448" s="111"/>
      <c r="D448" s="23" t="s">
        <v>487</v>
      </c>
      <c r="E448" s="24" t="s">
        <v>493</v>
      </c>
      <c r="F448" s="24" t="s">
        <v>496</v>
      </c>
      <c r="G448" s="24" t="s">
        <v>466</v>
      </c>
      <c r="H448" s="25">
        <v>52</v>
      </c>
      <c r="I448" s="25">
        <v>52</v>
      </c>
      <c r="J448" s="25"/>
      <c r="K448" s="25"/>
      <c r="L448" s="25"/>
      <c r="M448" s="25"/>
      <c r="N448" s="25"/>
      <c r="O448" s="25"/>
      <c r="P448" s="25"/>
      <c r="Q448" s="25"/>
      <c r="R448" s="25"/>
      <c r="S448" s="25"/>
      <c r="T448" s="73"/>
    </row>
    <row r="449" spans="1:20" s="15" customFormat="1" ht="26.4">
      <c r="A449" s="127" t="s">
        <v>694</v>
      </c>
      <c r="B449" s="11"/>
      <c r="C449" s="11" t="s">
        <v>57</v>
      </c>
      <c r="D449" s="23"/>
      <c r="E449" s="24"/>
      <c r="F449" s="24"/>
      <c r="G449" s="24"/>
      <c r="H449" s="25">
        <f>H451+H452+H453</f>
        <v>1789.2</v>
      </c>
      <c r="I449" s="25">
        <f>I451+I452+I453</f>
        <v>1755.5220000000002</v>
      </c>
      <c r="J449" s="25">
        <f t="shared" ref="J449:O449" si="220">J451+J452+J453</f>
        <v>429.58759999999995</v>
      </c>
      <c r="K449" s="25">
        <f t="shared" si="220"/>
        <v>403.54523</v>
      </c>
      <c r="L449" s="25">
        <f>L451+L452+L453</f>
        <v>1110.70408</v>
      </c>
      <c r="M449" s="25">
        <f t="shared" si="220"/>
        <v>1095.8958399999999</v>
      </c>
      <c r="N449" s="25">
        <f t="shared" si="220"/>
        <v>1978.6233299999999</v>
      </c>
      <c r="O449" s="25">
        <f t="shared" si="220"/>
        <v>1942.08824</v>
      </c>
      <c r="P449" s="25">
        <f>P451+P452+P453</f>
        <v>2989.9079999999999</v>
      </c>
      <c r="Q449" s="25">
        <f>Q451+Q452+Q453</f>
        <v>2975.9454999999998</v>
      </c>
      <c r="R449" s="25">
        <f t="shared" ref="R449:S449" si="221">R451+R452+R453</f>
        <v>2108.4809999999998</v>
      </c>
      <c r="S449" s="25">
        <f t="shared" si="221"/>
        <v>2108.4809999999998</v>
      </c>
      <c r="T449" s="73"/>
    </row>
    <row r="450" spans="1:20" s="15" customFormat="1" ht="13.2">
      <c r="A450" s="135"/>
      <c r="B450" s="11"/>
      <c r="C450" s="11" t="s">
        <v>250</v>
      </c>
      <c r="D450" s="23"/>
      <c r="E450" s="24"/>
      <c r="F450" s="24"/>
      <c r="G450" s="24"/>
      <c r="H450" s="25"/>
      <c r="I450" s="25"/>
      <c r="J450" s="25"/>
      <c r="K450" s="25"/>
      <c r="L450" s="25"/>
      <c r="M450" s="25"/>
      <c r="N450" s="25"/>
      <c r="O450" s="25"/>
      <c r="P450" s="25"/>
      <c r="Q450" s="25"/>
      <c r="R450" s="25"/>
      <c r="S450" s="25"/>
      <c r="T450" s="73"/>
    </row>
    <row r="451" spans="1:20" s="15" customFormat="1" ht="39.6">
      <c r="A451" s="135"/>
      <c r="B451" s="11" t="s">
        <v>40</v>
      </c>
      <c r="C451" s="109" t="s">
        <v>346</v>
      </c>
      <c r="D451" s="23" t="s">
        <v>347</v>
      </c>
      <c r="E451" s="24" t="s">
        <v>237</v>
      </c>
      <c r="F451" s="24" t="s">
        <v>497</v>
      </c>
      <c r="G451" s="24" t="s">
        <v>593</v>
      </c>
      <c r="H451" s="25">
        <v>1287.0811000000001</v>
      </c>
      <c r="I451" s="25">
        <v>1287.0811000000001</v>
      </c>
      <c r="J451" s="25">
        <v>267.59116999999998</v>
      </c>
      <c r="K451" s="25">
        <v>241.95325</v>
      </c>
      <c r="L451" s="25">
        <v>739.33124999999995</v>
      </c>
      <c r="M451" s="25">
        <v>739.33124999999995</v>
      </c>
      <c r="N451" s="25">
        <v>1444.66733</v>
      </c>
      <c r="O451" s="25">
        <v>1421.4546399999999</v>
      </c>
      <c r="P451" s="25">
        <v>2321.8789999999999</v>
      </c>
      <c r="Q451" s="25">
        <v>2321.8789999999999</v>
      </c>
      <c r="R451" s="25">
        <v>1311.6959999999999</v>
      </c>
      <c r="S451" s="25">
        <v>1311.6959999999999</v>
      </c>
      <c r="T451" s="73"/>
    </row>
    <row r="452" spans="1:20" s="15" customFormat="1" ht="39.6">
      <c r="A452" s="135"/>
      <c r="B452" s="11" t="s">
        <v>40</v>
      </c>
      <c r="C452" s="111"/>
      <c r="D452" s="23" t="s">
        <v>347</v>
      </c>
      <c r="E452" s="24" t="s">
        <v>237</v>
      </c>
      <c r="F452" s="24" t="s">
        <v>497</v>
      </c>
      <c r="G452" s="24" t="s">
        <v>584</v>
      </c>
      <c r="H452" s="25">
        <v>320.81889999999999</v>
      </c>
      <c r="I452" s="25">
        <v>287.14089999999999</v>
      </c>
      <c r="J452" s="25">
        <v>100.99643</v>
      </c>
      <c r="K452" s="25">
        <v>100.59198000000001</v>
      </c>
      <c r="L452" s="25">
        <v>249.37282999999999</v>
      </c>
      <c r="M452" s="25">
        <v>234.56459000000001</v>
      </c>
      <c r="N452" s="25">
        <v>350.95600000000002</v>
      </c>
      <c r="O452" s="25">
        <v>337.6336</v>
      </c>
      <c r="P452" s="25">
        <v>399.029</v>
      </c>
      <c r="Q452" s="25">
        <v>385.06650000000002</v>
      </c>
      <c r="R452" s="25">
        <v>340.78500000000003</v>
      </c>
      <c r="S452" s="25">
        <v>340.78500000000003</v>
      </c>
      <c r="T452" s="75" t="s">
        <v>755</v>
      </c>
    </row>
    <row r="453" spans="1:20" s="15" customFormat="1" ht="79.2">
      <c r="A453" s="129"/>
      <c r="B453" s="11" t="s">
        <v>498</v>
      </c>
      <c r="C453" s="11" t="s">
        <v>486</v>
      </c>
      <c r="D453" s="23" t="s">
        <v>487</v>
      </c>
      <c r="E453" s="24" t="s">
        <v>499</v>
      </c>
      <c r="F453" s="24" t="s">
        <v>500</v>
      </c>
      <c r="G453" s="24" t="s">
        <v>584</v>
      </c>
      <c r="H453" s="25">
        <v>181.3</v>
      </c>
      <c r="I453" s="25">
        <v>181.3</v>
      </c>
      <c r="J453" s="25">
        <v>61</v>
      </c>
      <c r="K453" s="25">
        <v>61</v>
      </c>
      <c r="L453" s="25">
        <v>122</v>
      </c>
      <c r="M453" s="25">
        <v>122</v>
      </c>
      <c r="N453" s="25">
        <v>183</v>
      </c>
      <c r="O453" s="25">
        <v>183</v>
      </c>
      <c r="P453" s="25">
        <v>269</v>
      </c>
      <c r="Q453" s="25">
        <v>269</v>
      </c>
      <c r="R453" s="25">
        <v>456</v>
      </c>
      <c r="S453" s="25">
        <v>456</v>
      </c>
      <c r="T453" s="73"/>
    </row>
    <row r="454" spans="1:20" s="22" customFormat="1" ht="36.75" customHeight="1">
      <c r="A454" s="133" t="s">
        <v>501</v>
      </c>
      <c r="B454" s="134"/>
      <c r="C454" s="17" t="s">
        <v>57</v>
      </c>
      <c r="D454" s="18"/>
      <c r="E454" s="18"/>
      <c r="F454" s="18"/>
      <c r="G454" s="18"/>
      <c r="H454" s="20">
        <f>H455</f>
        <v>32431.200000000001</v>
      </c>
      <c r="I454" s="20">
        <f>I455</f>
        <v>3480.1882000000001</v>
      </c>
      <c r="J454" s="20">
        <f t="shared" ref="J454:O455" si="222">J455</f>
        <v>15051.161</v>
      </c>
      <c r="K454" s="20">
        <f t="shared" si="222"/>
        <v>15051.13751</v>
      </c>
      <c r="L454" s="20">
        <f t="shared" si="222"/>
        <v>18708.357510000002</v>
      </c>
      <c r="M454" s="20">
        <f t="shared" si="222"/>
        <v>18708.357510000002</v>
      </c>
      <c r="N454" s="20">
        <f t="shared" si="222"/>
        <v>18708.357510000002</v>
      </c>
      <c r="O454" s="20">
        <f t="shared" si="222"/>
        <v>18708.357510000002</v>
      </c>
      <c r="P454" s="20">
        <f>P455</f>
        <v>141410.25751</v>
      </c>
      <c r="Q454" s="20">
        <f>Q455</f>
        <v>102308.15677</v>
      </c>
      <c r="R454" s="20">
        <f t="shared" ref="R454:S454" si="223">R455</f>
        <v>6469.6</v>
      </c>
      <c r="S454" s="20">
        <f t="shared" si="223"/>
        <v>5184</v>
      </c>
      <c r="T454" s="76"/>
    </row>
    <row r="455" spans="1:20" s="22" customFormat="1" ht="43.5" customHeight="1">
      <c r="A455" s="133"/>
      <c r="B455" s="134"/>
      <c r="C455" s="17" t="s">
        <v>350</v>
      </c>
      <c r="D455" s="18" t="s">
        <v>347</v>
      </c>
      <c r="E455" s="18"/>
      <c r="F455" s="18"/>
      <c r="G455" s="18"/>
      <c r="H455" s="19">
        <f>H456</f>
        <v>32431.200000000001</v>
      </c>
      <c r="I455" s="19">
        <f>I456</f>
        <v>3480.1882000000001</v>
      </c>
      <c r="J455" s="19">
        <f t="shared" si="222"/>
        <v>15051.161</v>
      </c>
      <c r="K455" s="19">
        <f t="shared" si="222"/>
        <v>15051.13751</v>
      </c>
      <c r="L455" s="19">
        <f t="shared" si="222"/>
        <v>18708.357510000002</v>
      </c>
      <c r="M455" s="19">
        <f t="shared" si="222"/>
        <v>18708.357510000002</v>
      </c>
      <c r="N455" s="19">
        <f t="shared" si="222"/>
        <v>18708.357510000002</v>
      </c>
      <c r="O455" s="19">
        <f t="shared" si="222"/>
        <v>18708.357510000002</v>
      </c>
      <c r="P455" s="19">
        <f>P456</f>
        <v>141410.25751</v>
      </c>
      <c r="Q455" s="19">
        <f>Q456</f>
        <v>102308.15677</v>
      </c>
      <c r="R455" s="19">
        <f>R456</f>
        <v>6469.6</v>
      </c>
      <c r="S455" s="19">
        <f>S456</f>
        <v>5184</v>
      </c>
      <c r="T455" s="76"/>
    </row>
    <row r="456" spans="1:20" s="15" customFormat="1" ht="12.75" customHeight="1">
      <c r="A456" s="109" t="s">
        <v>502</v>
      </c>
      <c r="B456" s="11"/>
      <c r="C456" s="11" t="s">
        <v>57</v>
      </c>
      <c r="D456" s="23"/>
      <c r="E456" s="24"/>
      <c r="F456" s="24"/>
      <c r="G456" s="24"/>
      <c r="H456" s="25">
        <f t="shared" ref="H456:O456" si="224">H458+H459+H460+H461+H462</f>
        <v>32431.200000000001</v>
      </c>
      <c r="I456" s="25">
        <f t="shared" si="224"/>
        <v>3480.1882000000001</v>
      </c>
      <c r="J456" s="25">
        <f t="shared" si="224"/>
        <v>15051.161</v>
      </c>
      <c r="K456" s="25">
        <f t="shared" si="224"/>
        <v>15051.13751</v>
      </c>
      <c r="L456" s="25">
        <f t="shared" si="224"/>
        <v>18708.357510000002</v>
      </c>
      <c r="M456" s="25">
        <f t="shared" si="224"/>
        <v>18708.357510000002</v>
      </c>
      <c r="N456" s="25">
        <f t="shared" si="224"/>
        <v>18708.357510000002</v>
      </c>
      <c r="O456" s="25">
        <f t="shared" si="224"/>
        <v>18708.357510000002</v>
      </c>
      <c r="P456" s="25">
        <f>P458+P459+P460+P461+P462</f>
        <v>141410.25751</v>
      </c>
      <c r="Q456" s="25">
        <f t="shared" ref="Q456" si="225">Q458+Q459+Q460+Q461+Q462</f>
        <v>102308.15677</v>
      </c>
      <c r="R456" s="25">
        <f>SUM(R458:R470)</f>
        <v>6469.6</v>
      </c>
      <c r="S456" s="25">
        <f>SUM(S458:S470)</f>
        <v>5184</v>
      </c>
      <c r="T456" s="73"/>
    </row>
    <row r="457" spans="1:20" s="15" customFormat="1" ht="17.25" customHeight="1">
      <c r="A457" s="110"/>
      <c r="B457" s="11"/>
      <c r="C457" s="11" t="s">
        <v>362</v>
      </c>
      <c r="D457" s="23"/>
      <c r="E457" s="24"/>
      <c r="F457" s="24"/>
      <c r="G457" s="24"/>
      <c r="H457" s="25"/>
      <c r="I457" s="25"/>
      <c r="J457" s="25"/>
      <c r="K457" s="25"/>
      <c r="L457" s="25"/>
      <c r="M457" s="25"/>
      <c r="N457" s="25"/>
      <c r="O457" s="25"/>
      <c r="P457" s="25"/>
      <c r="Q457" s="25"/>
      <c r="R457" s="25"/>
      <c r="S457" s="25"/>
      <c r="T457" s="73"/>
    </row>
    <row r="458" spans="1:20" s="15" customFormat="1" ht="84.75" customHeight="1">
      <c r="A458" s="110"/>
      <c r="B458" s="11" t="s">
        <v>503</v>
      </c>
      <c r="C458" s="109" t="s">
        <v>346</v>
      </c>
      <c r="D458" s="23" t="s">
        <v>347</v>
      </c>
      <c r="E458" s="24" t="s">
        <v>504</v>
      </c>
      <c r="F458" s="24" t="s">
        <v>505</v>
      </c>
      <c r="G458" s="24" t="s">
        <v>589</v>
      </c>
      <c r="H458" s="25">
        <v>10887.3</v>
      </c>
      <c r="I458" s="25">
        <v>3275.21495</v>
      </c>
      <c r="J458" s="25"/>
      <c r="K458" s="25"/>
      <c r="L458" s="25">
        <v>3657.22</v>
      </c>
      <c r="M458" s="25">
        <v>3657.22</v>
      </c>
      <c r="N458" s="25">
        <v>3657.22</v>
      </c>
      <c r="O458" s="25">
        <v>3657.22</v>
      </c>
      <c r="P458" s="25">
        <v>70595.22</v>
      </c>
      <c r="Q458" s="25">
        <v>60710.269780000002</v>
      </c>
      <c r="R458" s="25"/>
      <c r="S458" s="25"/>
      <c r="T458" s="75" t="s">
        <v>723</v>
      </c>
    </row>
    <row r="459" spans="1:20" s="15" customFormat="1" ht="60">
      <c r="A459" s="110"/>
      <c r="B459" s="11" t="s">
        <v>506</v>
      </c>
      <c r="C459" s="110"/>
      <c r="D459" s="23" t="s">
        <v>347</v>
      </c>
      <c r="E459" s="24" t="s">
        <v>504</v>
      </c>
      <c r="F459" s="24" t="s">
        <v>507</v>
      </c>
      <c r="G459" s="24" t="s">
        <v>695</v>
      </c>
      <c r="H459" s="25">
        <v>21330.5</v>
      </c>
      <c r="I459" s="25">
        <v>0</v>
      </c>
      <c r="J459" s="25">
        <f>22.56+3623.701</f>
        <v>3646.261</v>
      </c>
      <c r="K459" s="25">
        <v>3646.261</v>
      </c>
      <c r="L459" s="25">
        <f>22.56+3623.701</f>
        <v>3646.261</v>
      </c>
      <c r="M459" s="25">
        <f>3623.701+22.56</f>
        <v>3646.261</v>
      </c>
      <c r="N459" s="25">
        <f>22.56+3623.701</f>
        <v>3646.261</v>
      </c>
      <c r="O459" s="25">
        <f>3623.701+22.56</f>
        <v>3646.261</v>
      </c>
      <c r="P459" s="25">
        <f>59019.501+22.56</f>
        <v>59042.060999999994</v>
      </c>
      <c r="Q459" s="25">
        <f>29802.37923+22.56</f>
        <v>29824.93923</v>
      </c>
      <c r="R459" s="25">
        <v>3747.7</v>
      </c>
      <c r="S459" s="25"/>
      <c r="T459" s="75" t="s">
        <v>758</v>
      </c>
    </row>
    <row r="460" spans="1:20" s="15" customFormat="1" ht="79.2">
      <c r="A460" s="110"/>
      <c r="B460" s="11" t="s">
        <v>508</v>
      </c>
      <c r="C460" s="110"/>
      <c r="D460" s="23" t="s">
        <v>347</v>
      </c>
      <c r="E460" s="24" t="s">
        <v>504</v>
      </c>
      <c r="F460" s="24" t="s">
        <v>509</v>
      </c>
      <c r="G460" s="24" t="s">
        <v>695</v>
      </c>
      <c r="H460" s="25">
        <v>159</v>
      </c>
      <c r="I460" s="25">
        <v>150.57325</v>
      </c>
      <c r="J460" s="25">
        <f>33.947+11370.953</f>
        <v>11404.9</v>
      </c>
      <c r="K460" s="25">
        <v>11404.87651</v>
      </c>
      <c r="L460" s="25">
        <f t="shared" ref="L460:Q460" si="226">11370.92951+33.947</f>
        <v>11404.87651</v>
      </c>
      <c r="M460" s="25">
        <f t="shared" si="226"/>
        <v>11404.87651</v>
      </c>
      <c r="N460" s="25">
        <f t="shared" si="226"/>
        <v>11404.87651</v>
      </c>
      <c r="O460" s="25">
        <f t="shared" si="226"/>
        <v>11404.87651</v>
      </c>
      <c r="P460" s="25">
        <f t="shared" si="226"/>
        <v>11404.87651</v>
      </c>
      <c r="Q460" s="25">
        <f t="shared" si="226"/>
        <v>11404.87651</v>
      </c>
      <c r="R460" s="25"/>
      <c r="S460" s="25"/>
      <c r="T460" s="75"/>
    </row>
    <row r="461" spans="1:20" s="15" customFormat="1" ht="79.2">
      <c r="A461" s="110"/>
      <c r="B461" s="11" t="s">
        <v>510</v>
      </c>
      <c r="C461" s="110"/>
      <c r="D461" s="23" t="s">
        <v>347</v>
      </c>
      <c r="E461" s="24" t="s">
        <v>504</v>
      </c>
      <c r="F461" s="24" t="s">
        <v>511</v>
      </c>
      <c r="G461" s="24" t="s">
        <v>589</v>
      </c>
      <c r="H461" s="25">
        <v>54.4</v>
      </c>
      <c r="I461" s="25">
        <v>54.4</v>
      </c>
      <c r="J461" s="25"/>
      <c r="K461" s="25"/>
      <c r="L461" s="25"/>
      <c r="M461" s="25"/>
      <c r="N461" s="25"/>
      <c r="O461" s="25"/>
      <c r="P461" s="25">
        <v>170.7</v>
      </c>
      <c r="Q461" s="25">
        <v>170.7</v>
      </c>
      <c r="R461" s="25">
        <v>37.9</v>
      </c>
      <c r="S461" s="25"/>
      <c r="T461" s="73"/>
    </row>
    <row r="462" spans="1:20" s="15" customFormat="1" ht="66" customHeight="1">
      <c r="A462" s="110"/>
      <c r="B462" s="52" t="s">
        <v>697</v>
      </c>
      <c r="C462" s="110"/>
      <c r="D462" s="23" t="s">
        <v>347</v>
      </c>
      <c r="E462" s="24" t="s">
        <v>504</v>
      </c>
      <c r="F462" s="24" t="s">
        <v>696</v>
      </c>
      <c r="G462" s="24" t="s">
        <v>589</v>
      </c>
      <c r="H462" s="25"/>
      <c r="I462" s="25"/>
      <c r="J462" s="25"/>
      <c r="K462" s="25"/>
      <c r="L462" s="25"/>
      <c r="M462" s="25"/>
      <c r="N462" s="25"/>
      <c r="O462" s="25"/>
      <c r="P462" s="25">
        <v>197.4</v>
      </c>
      <c r="Q462" s="25">
        <v>197.37125</v>
      </c>
      <c r="R462" s="25"/>
      <c r="S462" s="25"/>
      <c r="T462" s="73"/>
    </row>
    <row r="463" spans="1:20" s="15" customFormat="1" ht="45.75" customHeight="1">
      <c r="A463" s="110"/>
      <c r="B463" s="71" t="s">
        <v>727</v>
      </c>
      <c r="C463" s="110"/>
      <c r="D463" s="23" t="s">
        <v>347</v>
      </c>
      <c r="E463" s="24" t="s">
        <v>504</v>
      </c>
      <c r="F463" s="24" t="s">
        <v>728</v>
      </c>
      <c r="G463" s="24" t="s">
        <v>584</v>
      </c>
      <c r="H463" s="25"/>
      <c r="I463" s="25"/>
      <c r="J463" s="25"/>
      <c r="K463" s="25"/>
      <c r="L463" s="25"/>
      <c r="M463" s="25"/>
      <c r="N463" s="25"/>
      <c r="O463" s="25"/>
      <c r="P463" s="25"/>
      <c r="Q463" s="25"/>
      <c r="R463" s="25">
        <v>28</v>
      </c>
      <c r="S463" s="25">
        <v>28</v>
      </c>
      <c r="T463" s="73"/>
    </row>
    <row r="464" spans="1:20" s="15" customFormat="1" ht="66" customHeight="1">
      <c r="A464" s="110"/>
      <c r="B464" s="71" t="s">
        <v>730</v>
      </c>
      <c r="C464" s="110"/>
      <c r="D464" s="23" t="s">
        <v>347</v>
      </c>
      <c r="E464" s="24" t="s">
        <v>504</v>
      </c>
      <c r="F464" s="24" t="s">
        <v>729</v>
      </c>
      <c r="G464" s="24" t="s">
        <v>584</v>
      </c>
      <c r="H464" s="25"/>
      <c r="I464" s="25"/>
      <c r="J464" s="25"/>
      <c r="K464" s="25"/>
      <c r="L464" s="25"/>
      <c r="M464" s="25"/>
      <c r="N464" s="25"/>
      <c r="O464" s="25"/>
      <c r="P464" s="25"/>
      <c r="Q464" s="25"/>
      <c r="R464" s="25">
        <v>220</v>
      </c>
      <c r="S464" s="25"/>
      <c r="T464" s="73"/>
    </row>
    <row r="465" spans="1:20" s="15" customFormat="1" ht="32.25" customHeight="1">
      <c r="A465" s="110"/>
      <c r="B465" s="71" t="s">
        <v>731</v>
      </c>
      <c r="C465" s="110"/>
      <c r="D465" s="23" t="s">
        <v>347</v>
      </c>
      <c r="E465" s="24" t="s">
        <v>504</v>
      </c>
      <c r="F465" s="24" t="s">
        <v>732</v>
      </c>
      <c r="G465" s="24" t="s">
        <v>584</v>
      </c>
      <c r="H465" s="25"/>
      <c r="I465" s="25"/>
      <c r="J465" s="25"/>
      <c r="K465" s="25"/>
      <c r="L465" s="25"/>
      <c r="M465" s="25"/>
      <c r="N465" s="25"/>
      <c r="O465" s="25"/>
      <c r="P465" s="25"/>
      <c r="Q465" s="25"/>
      <c r="R465" s="25">
        <v>60</v>
      </c>
      <c r="S465" s="25"/>
      <c r="T465" s="73"/>
    </row>
    <row r="466" spans="1:20" s="15" customFormat="1" ht="121.5" customHeight="1">
      <c r="A466" s="110"/>
      <c r="B466" s="71" t="s">
        <v>734</v>
      </c>
      <c r="C466" s="110"/>
      <c r="D466" s="23" t="s">
        <v>347</v>
      </c>
      <c r="E466" s="24" t="s">
        <v>504</v>
      </c>
      <c r="F466" s="24" t="s">
        <v>733</v>
      </c>
      <c r="G466" s="24" t="s">
        <v>584</v>
      </c>
      <c r="H466" s="25"/>
      <c r="I466" s="25"/>
      <c r="J466" s="25"/>
      <c r="K466" s="25"/>
      <c r="L466" s="25"/>
      <c r="M466" s="25"/>
      <c r="N466" s="25"/>
      <c r="O466" s="25"/>
      <c r="P466" s="25"/>
      <c r="Q466" s="25"/>
      <c r="R466" s="25">
        <v>1500</v>
      </c>
      <c r="S466" s="25">
        <v>4220</v>
      </c>
      <c r="T466" s="73"/>
    </row>
    <row r="467" spans="1:20" s="15" customFormat="1" ht="41.25" customHeight="1">
      <c r="A467" s="110"/>
      <c r="B467" s="71" t="s">
        <v>736</v>
      </c>
      <c r="C467" s="110"/>
      <c r="D467" s="23" t="s">
        <v>347</v>
      </c>
      <c r="E467" s="24" t="s">
        <v>504</v>
      </c>
      <c r="F467" s="24" t="s">
        <v>735</v>
      </c>
      <c r="G467" s="24" t="s">
        <v>584</v>
      </c>
      <c r="H467" s="25"/>
      <c r="I467" s="25"/>
      <c r="J467" s="25"/>
      <c r="K467" s="25"/>
      <c r="L467" s="25"/>
      <c r="M467" s="25"/>
      <c r="N467" s="25"/>
      <c r="O467" s="25"/>
      <c r="P467" s="25"/>
      <c r="Q467" s="25"/>
      <c r="R467" s="25">
        <v>180</v>
      </c>
      <c r="S467" s="25">
        <v>240</v>
      </c>
      <c r="T467" s="73"/>
    </row>
    <row r="468" spans="1:20" s="15" customFormat="1" ht="47.25" customHeight="1">
      <c r="A468" s="110"/>
      <c r="B468" s="71" t="s">
        <v>738</v>
      </c>
      <c r="C468" s="110"/>
      <c r="D468" s="23" t="s">
        <v>347</v>
      </c>
      <c r="E468" s="24" t="s">
        <v>504</v>
      </c>
      <c r="F468" s="24" t="s">
        <v>737</v>
      </c>
      <c r="G468" s="24" t="s">
        <v>584</v>
      </c>
      <c r="H468" s="25"/>
      <c r="I468" s="25"/>
      <c r="J468" s="25"/>
      <c r="K468" s="25"/>
      <c r="L468" s="25"/>
      <c r="M468" s="25"/>
      <c r="N468" s="25"/>
      <c r="O468" s="25"/>
      <c r="P468" s="25"/>
      <c r="Q468" s="25"/>
      <c r="R468" s="25">
        <v>336</v>
      </c>
      <c r="S468" s="25">
        <v>336</v>
      </c>
      <c r="T468" s="73"/>
    </row>
    <row r="469" spans="1:20" s="15" customFormat="1" ht="66" customHeight="1">
      <c r="A469" s="110"/>
      <c r="B469" s="71" t="s">
        <v>741</v>
      </c>
      <c r="C469" s="110"/>
      <c r="D469" s="23" t="s">
        <v>347</v>
      </c>
      <c r="E469" s="24" t="s">
        <v>504</v>
      </c>
      <c r="F469" s="24" t="s">
        <v>739</v>
      </c>
      <c r="G469" s="24" t="s">
        <v>584</v>
      </c>
      <c r="H469" s="25"/>
      <c r="I469" s="25"/>
      <c r="J469" s="25"/>
      <c r="K469" s="25"/>
      <c r="L469" s="25"/>
      <c r="M469" s="25"/>
      <c r="N469" s="25"/>
      <c r="O469" s="25"/>
      <c r="P469" s="25"/>
      <c r="Q469" s="25"/>
      <c r="R469" s="25">
        <v>180</v>
      </c>
      <c r="S469" s="25">
        <v>180</v>
      </c>
      <c r="T469" s="73"/>
    </row>
    <row r="470" spans="1:20" s="15" customFormat="1" ht="57.75" customHeight="1">
      <c r="A470" s="111"/>
      <c r="B470" s="71" t="s">
        <v>742</v>
      </c>
      <c r="C470" s="111"/>
      <c r="D470" s="23" t="s">
        <v>347</v>
      </c>
      <c r="E470" s="24" t="s">
        <v>504</v>
      </c>
      <c r="F470" s="24" t="s">
        <v>740</v>
      </c>
      <c r="G470" s="24" t="s">
        <v>584</v>
      </c>
      <c r="H470" s="25"/>
      <c r="I470" s="25"/>
      <c r="J470" s="25"/>
      <c r="K470" s="25"/>
      <c r="L470" s="25"/>
      <c r="M470" s="25"/>
      <c r="N470" s="25"/>
      <c r="O470" s="25"/>
      <c r="P470" s="25"/>
      <c r="Q470" s="25"/>
      <c r="R470" s="25">
        <v>180</v>
      </c>
      <c r="S470" s="25">
        <v>180</v>
      </c>
      <c r="T470" s="73"/>
    </row>
    <row r="471" spans="1:20" s="22" customFormat="1" ht="59.25" customHeight="1">
      <c r="A471" s="133" t="s">
        <v>512</v>
      </c>
      <c r="B471" s="134"/>
      <c r="C471" s="17" t="s">
        <v>57</v>
      </c>
      <c r="D471" s="18"/>
      <c r="E471" s="18"/>
      <c r="F471" s="18"/>
      <c r="G471" s="18"/>
      <c r="H471" s="20">
        <f>H472</f>
        <v>23497.583999999999</v>
      </c>
      <c r="I471" s="20">
        <f>I472</f>
        <v>23275.483980000001</v>
      </c>
      <c r="J471" s="20">
        <f t="shared" ref="J471:O471" si="227">J472</f>
        <v>18.079999999999998</v>
      </c>
      <c r="K471" s="20">
        <f t="shared" si="227"/>
        <v>18.079999999999998</v>
      </c>
      <c r="L471" s="20">
        <f t="shared" si="227"/>
        <v>55.2</v>
      </c>
      <c r="M471" s="20">
        <f t="shared" si="227"/>
        <v>54.24</v>
      </c>
      <c r="N471" s="20">
        <f t="shared" si="227"/>
        <v>1079.5272</v>
      </c>
      <c r="O471" s="20">
        <f t="shared" si="227"/>
        <v>81.36</v>
      </c>
      <c r="P471" s="20">
        <f>P472</f>
        <v>18187.689429999999</v>
      </c>
      <c r="Q471" s="20">
        <f>Q472</f>
        <v>17582.973099999999</v>
      </c>
      <c r="R471" s="20">
        <f>R472</f>
        <v>148445.24626000001</v>
      </c>
      <c r="S471" s="20">
        <f t="shared" ref="S471" si="228">S472</f>
        <v>278.64</v>
      </c>
      <c r="T471" s="76"/>
    </row>
    <row r="472" spans="1:20" s="22" customFormat="1" ht="59.25" customHeight="1">
      <c r="A472" s="133"/>
      <c r="B472" s="134"/>
      <c r="C472" s="17" t="s">
        <v>350</v>
      </c>
      <c r="D472" s="18" t="s">
        <v>347</v>
      </c>
      <c r="E472" s="18"/>
      <c r="F472" s="18"/>
      <c r="G472" s="18"/>
      <c r="H472" s="19">
        <f t="shared" ref="H472:S472" si="229">H473+H485+H489+H491+H478</f>
        <v>23497.583999999999</v>
      </c>
      <c r="I472" s="19">
        <f t="shared" si="229"/>
        <v>23275.483980000001</v>
      </c>
      <c r="J472" s="19">
        <f t="shared" si="229"/>
        <v>18.079999999999998</v>
      </c>
      <c r="K472" s="19">
        <f t="shared" si="229"/>
        <v>18.079999999999998</v>
      </c>
      <c r="L472" s="19">
        <f t="shared" si="229"/>
        <v>55.2</v>
      </c>
      <c r="M472" s="19">
        <f t="shared" si="229"/>
        <v>54.24</v>
      </c>
      <c r="N472" s="19">
        <f t="shared" si="229"/>
        <v>1079.5272</v>
      </c>
      <c r="O472" s="19">
        <f t="shared" si="229"/>
        <v>81.36</v>
      </c>
      <c r="P472" s="19">
        <f t="shared" si="229"/>
        <v>18187.689429999999</v>
      </c>
      <c r="Q472" s="19">
        <f t="shared" si="229"/>
        <v>17582.973099999999</v>
      </c>
      <c r="R472" s="19">
        <f>R473+R485+R489+R491+R478</f>
        <v>148445.24626000001</v>
      </c>
      <c r="S472" s="19">
        <f t="shared" si="229"/>
        <v>278.64</v>
      </c>
      <c r="T472" s="76"/>
    </row>
    <row r="473" spans="1:20" s="15" customFormat="1" ht="26.4">
      <c r="A473" s="127" t="s">
        <v>513</v>
      </c>
      <c r="B473" s="11"/>
      <c r="C473" s="11" t="s">
        <v>57</v>
      </c>
      <c r="D473" s="23"/>
      <c r="E473" s="24"/>
      <c r="F473" s="24"/>
      <c r="G473" s="24"/>
      <c r="H473" s="25">
        <f>H475+H476+H477</f>
        <v>1167.3600000000001</v>
      </c>
      <c r="I473" s="25">
        <f>I475+I476+I477</f>
        <v>1167.3600000000001</v>
      </c>
      <c r="J473" s="25">
        <f t="shared" ref="J473:O473" si="230">J475+J476+J477</f>
        <v>0</v>
      </c>
      <c r="K473" s="25">
        <f t="shared" si="230"/>
        <v>0</v>
      </c>
      <c r="L473" s="25">
        <f t="shared" si="230"/>
        <v>0</v>
      </c>
      <c r="M473" s="25">
        <f t="shared" si="230"/>
        <v>0</v>
      </c>
      <c r="N473" s="25">
        <f t="shared" si="230"/>
        <v>997.20719999999994</v>
      </c>
      <c r="O473" s="25">
        <f t="shared" si="230"/>
        <v>0</v>
      </c>
      <c r="P473" s="25">
        <f>P475+P476+P477</f>
        <v>1208.7359999999999</v>
      </c>
      <c r="Q473" s="25">
        <f>Q475+Q476+Q477</f>
        <v>1208.7359999999999</v>
      </c>
      <c r="R473" s="25">
        <f t="shared" ref="R473:S473" si="231">R475+R476+R477</f>
        <v>278.64</v>
      </c>
      <c r="S473" s="25">
        <f t="shared" si="231"/>
        <v>278.64</v>
      </c>
      <c r="T473" s="73"/>
    </row>
    <row r="474" spans="1:20" s="15" customFormat="1" ht="13.2">
      <c r="A474" s="135"/>
      <c r="B474" s="11"/>
      <c r="C474" s="11" t="s">
        <v>250</v>
      </c>
      <c r="D474" s="23"/>
      <c r="E474" s="24"/>
      <c r="F474" s="24"/>
      <c r="G474" s="24"/>
      <c r="H474" s="25"/>
      <c r="I474" s="25"/>
      <c r="J474" s="25"/>
      <c r="K474" s="25"/>
      <c r="L474" s="25"/>
      <c r="M474" s="25"/>
      <c r="N474" s="25"/>
      <c r="O474" s="25"/>
      <c r="P474" s="25"/>
      <c r="Q474" s="25"/>
      <c r="R474" s="25"/>
      <c r="S474" s="25"/>
      <c r="T474" s="73"/>
    </row>
    <row r="475" spans="1:20" s="15" customFormat="1" ht="52.8">
      <c r="A475" s="135"/>
      <c r="B475" s="11" t="s">
        <v>514</v>
      </c>
      <c r="C475" s="109" t="s">
        <v>346</v>
      </c>
      <c r="D475" s="23" t="s">
        <v>347</v>
      </c>
      <c r="E475" s="24" t="s">
        <v>78</v>
      </c>
      <c r="F475" s="24" t="s">
        <v>515</v>
      </c>
      <c r="G475" s="24" t="s">
        <v>679</v>
      </c>
      <c r="H475" s="25">
        <v>262.65600000000001</v>
      </c>
      <c r="I475" s="25">
        <v>262.65600000000001</v>
      </c>
      <c r="J475" s="25"/>
      <c r="K475" s="25"/>
      <c r="L475" s="25"/>
      <c r="M475" s="25"/>
      <c r="N475" s="25">
        <v>271.96559999999999</v>
      </c>
      <c r="O475" s="25"/>
      <c r="P475" s="25">
        <v>271.96559999999999</v>
      </c>
      <c r="Q475" s="25">
        <v>271.96559999999999</v>
      </c>
      <c r="R475" s="25"/>
      <c r="S475" s="25"/>
      <c r="T475" s="73"/>
    </row>
    <row r="476" spans="1:20" s="15" customFormat="1" ht="39.6">
      <c r="A476" s="135"/>
      <c r="B476" s="11" t="s">
        <v>516</v>
      </c>
      <c r="C476" s="110"/>
      <c r="D476" s="23" t="s">
        <v>347</v>
      </c>
      <c r="E476" s="24" t="s">
        <v>78</v>
      </c>
      <c r="F476" s="24" t="s">
        <v>517</v>
      </c>
      <c r="G476" s="24" t="s">
        <v>679</v>
      </c>
      <c r="H476" s="25">
        <v>700.41600000000005</v>
      </c>
      <c r="I476" s="25">
        <v>700.41600000000005</v>
      </c>
      <c r="J476" s="25"/>
      <c r="K476" s="25"/>
      <c r="L476" s="25"/>
      <c r="M476" s="25"/>
      <c r="N476" s="25">
        <v>725.24159999999995</v>
      </c>
      <c r="O476" s="25"/>
      <c r="P476" s="25">
        <v>725.24159999999995</v>
      </c>
      <c r="Q476" s="25">
        <v>725.24159999999995</v>
      </c>
      <c r="R476" s="25"/>
      <c r="S476" s="25"/>
      <c r="T476" s="73"/>
    </row>
    <row r="477" spans="1:20" s="15" customFormat="1" ht="26.4">
      <c r="A477" s="129"/>
      <c r="B477" s="11" t="s">
        <v>700</v>
      </c>
      <c r="C477" s="111"/>
      <c r="D477" s="23" t="s">
        <v>347</v>
      </c>
      <c r="E477" s="24" t="s">
        <v>78</v>
      </c>
      <c r="F477" s="24" t="s">
        <v>518</v>
      </c>
      <c r="G477" s="24" t="s">
        <v>679</v>
      </c>
      <c r="H477" s="25">
        <v>204.28800000000001</v>
      </c>
      <c r="I477" s="25">
        <v>204.28800000000001</v>
      </c>
      <c r="J477" s="25"/>
      <c r="K477" s="25"/>
      <c r="L477" s="25"/>
      <c r="M477" s="25"/>
      <c r="N477" s="25"/>
      <c r="O477" s="25"/>
      <c r="P477" s="25">
        <v>211.52879999999999</v>
      </c>
      <c r="Q477" s="25">
        <v>211.52879999999999</v>
      </c>
      <c r="R477" s="25">
        <v>278.64</v>
      </c>
      <c r="S477" s="25">
        <v>278.64</v>
      </c>
      <c r="T477" s="73"/>
    </row>
    <row r="478" spans="1:20" s="15" customFormat="1" ht="12.75" customHeight="1">
      <c r="A478" s="109" t="s">
        <v>699</v>
      </c>
      <c r="B478" s="52"/>
      <c r="C478" s="52" t="s">
        <v>57</v>
      </c>
      <c r="D478" s="23"/>
      <c r="E478" s="24"/>
      <c r="F478" s="24"/>
      <c r="G478" s="24"/>
      <c r="H478" s="25">
        <f t="shared" ref="H478:O478" si="232">H480+H481+H483+H482+H484</f>
        <v>0</v>
      </c>
      <c r="I478" s="25">
        <f t="shared" si="232"/>
        <v>0</v>
      </c>
      <c r="J478" s="25">
        <f t="shared" si="232"/>
        <v>0</v>
      </c>
      <c r="K478" s="25">
        <f t="shared" si="232"/>
        <v>0</v>
      </c>
      <c r="L478" s="25">
        <f t="shared" si="232"/>
        <v>0</v>
      </c>
      <c r="M478" s="25">
        <f t="shared" si="232"/>
        <v>0</v>
      </c>
      <c r="N478" s="25">
        <f t="shared" si="232"/>
        <v>0</v>
      </c>
      <c r="O478" s="25">
        <f t="shared" si="232"/>
        <v>0</v>
      </c>
      <c r="P478" s="25">
        <f>P480+P481+P483+P482+P484</f>
        <v>16840.473429999998</v>
      </c>
      <c r="Q478" s="25">
        <f>Q480+Q481+Q483+Q482+Q484</f>
        <v>16235.757099999999</v>
      </c>
      <c r="R478" s="25">
        <f t="shared" ref="R478:S478" si="233">R480+R481+R483+R482+R484</f>
        <v>147941.70626000001</v>
      </c>
      <c r="S478" s="25">
        <f t="shared" si="233"/>
        <v>0</v>
      </c>
      <c r="T478" s="73"/>
    </row>
    <row r="479" spans="1:20" s="15" customFormat="1" ht="13.2">
      <c r="A479" s="110"/>
      <c r="B479" s="52"/>
      <c r="C479" s="52" t="s">
        <v>250</v>
      </c>
      <c r="D479" s="23"/>
      <c r="E479" s="24"/>
      <c r="F479" s="24"/>
      <c r="G479" s="24"/>
      <c r="H479" s="25"/>
      <c r="I479" s="25"/>
      <c r="J479" s="25"/>
      <c r="K479" s="25"/>
      <c r="L479" s="25"/>
      <c r="M479" s="25"/>
      <c r="N479" s="25"/>
      <c r="O479" s="25"/>
      <c r="P479" s="25"/>
      <c r="Q479" s="25"/>
      <c r="R479" s="25"/>
      <c r="S479" s="25"/>
      <c r="T479" s="73"/>
    </row>
    <row r="480" spans="1:20" s="15" customFormat="1" ht="39.6">
      <c r="A480" s="110"/>
      <c r="B480" s="52" t="s">
        <v>705</v>
      </c>
      <c r="C480" s="109" t="s">
        <v>346</v>
      </c>
      <c r="D480" s="23" t="s">
        <v>347</v>
      </c>
      <c r="E480" s="24" t="s">
        <v>524</v>
      </c>
      <c r="F480" s="24" t="s">
        <v>701</v>
      </c>
      <c r="G480" s="24" t="s">
        <v>466</v>
      </c>
      <c r="H480" s="25"/>
      <c r="I480" s="25"/>
      <c r="J480" s="25"/>
      <c r="K480" s="25"/>
      <c r="L480" s="25"/>
      <c r="M480" s="25"/>
      <c r="N480" s="25"/>
      <c r="O480" s="25"/>
      <c r="P480" s="25">
        <v>208.15100000000001</v>
      </c>
      <c r="Q480" s="25">
        <v>208.15073000000001</v>
      </c>
      <c r="R480" s="25"/>
      <c r="S480" s="25"/>
      <c r="T480" s="73"/>
    </row>
    <row r="481" spans="1:20" s="15" customFormat="1" ht="51" customHeight="1">
      <c r="A481" s="110"/>
      <c r="B481" s="109" t="s">
        <v>706</v>
      </c>
      <c r="C481" s="110"/>
      <c r="D481" s="23" t="s">
        <v>347</v>
      </c>
      <c r="E481" s="24" t="s">
        <v>524</v>
      </c>
      <c r="F481" s="24" t="s">
        <v>702</v>
      </c>
      <c r="G481" s="24" t="s">
        <v>703</v>
      </c>
      <c r="H481" s="25"/>
      <c r="I481" s="25"/>
      <c r="J481" s="25"/>
      <c r="K481" s="25"/>
      <c r="L481" s="25"/>
      <c r="M481" s="25"/>
      <c r="N481" s="25"/>
      <c r="O481" s="25"/>
      <c r="P481" s="25">
        <v>3045.1072399999998</v>
      </c>
      <c r="Q481" s="25">
        <v>3045.1072399999998</v>
      </c>
      <c r="R481" s="25">
        <v>27747.296160000002</v>
      </c>
      <c r="S481" s="25"/>
      <c r="T481" s="73"/>
    </row>
    <row r="482" spans="1:20" s="15" customFormat="1" ht="51" customHeight="1">
      <c r="A482" s="110"/>
      <c r="B482" s="111"/>
      <c r="C482" s="110"/>
      <c r="D482" s="23" t="s">
        <v>347</v>
      </c>
      <c r="E482" s="24" t="s">
        <v>524</v>
      </c>
      <c r="F482" s="24" t="s">
        <v>702</v>
      </c>
      <c r="G482" s="24" t="s">
        <v>619</v>
      </c>
      <c r="H482" s="25"/>
      <c r="I482" s="25"/>
      <c r="J482" s="25"/>
      <c r="K482" s="25"/>
      <c r="L482" s="25"/>
      <c r="M482" s="25"/>
      <c r="N482" s="25"/>
      <c r="O482" s="25"/>
      <c r="P482" s="25">
        <v>3045.1072399999998</v>
      </c>
      <c r="Q482" s="25">
        <v>3045.1072399999998</v>
      </c>
      <c r="R482" s="25">
        <v>27747.296160000002</v>
      </c>
      <c r="S482" s="25"/>
      <c r="T482" s="73"/>
    </row>
    <row r="483" spans="1:20" s="15" customFormat="1" ht="39" customHeight="1">
      <c r="A483" s="110"/>
      <c r="B483" s="109" t="s">
        <v>707</v>
      </c>
      <c r="C483" s="110"/>
      <c r="D483" s="23" t="s">
        <v>347</v>
      </c>
      <c r="E483" s="24" t="s">
        <v>524</v>
      </c>
      <c r="F483" s="24" t="s">
        <v>704</v>
      </c>
      <c r="G483" s="24" t="s">
        <v>703</v>
      </c>
      <c r="H483" s="25"/>
      <c r="I483" s="25"/>
      <c r="J483" s="25"/>
      <c r="K483" s="25"/>
      <c r="L483" s="25"/>
      <c r="M483" s="25"/>
      <c r="N483" s="25"/>
      <c r="O483" s="25"/>
      <c r="P483" s="25">
        <f>4864.62058+812.86679</f>
        <v>5677.4873699999998</v>
      </c>
      <c r="Q483" s="25">
        <f>4864.62058+208.15073</f>
        <v>5072.7713100000001</v>
      </c>
      <c r="R483" s="25">
        <v>46223.556969999998</v>
      </c>
      <c r="S483" s="25"/>
      <c r="T483" s="74" t="s">
        <v>759</v>
      </c>
    </row>
    <row r="484" spans="1:20" s="15" customFormat="1" ht="39" customHeight="1">
      <c r="A484" s="111"/>
      <c r="B484" s="111"/>
      <c r="C484" s="111"/>
      <c r="D484" s="23" t="s">
        <v>347</v>
      </c>
      <c r="E484" s="24" t="s">
        <v>524</v>
      </c>
      <c r="F484" s="24" t="s">
        <v>704</v>
      </c>
      <c r="G484" s="24" t="s">
        <v>619</v>
      </c>
      <c r="H484" s="25"/>
      <c r="I484" s="25"/>
      <c r="J484" s="25"/>
      <c r="K484" s="25"/>
      <c r="L484" s="25"/>
      <c r="M484" s="25"/>
      <c r="N484" s="25"/>
      <c r="O484" s="25"/>
      <c r="P484" s="25">
        <f>4864.62058</f>
        <v>4864.6205799999998</v>
      </c>
      <c r="Q484" s="25">
        <f>4864.62058</f>
        <v>4864.6205799999998</v>
      </c>
      <c r="R484" s="25">
        <v>46223.556969999998</v>
      </c>
      <c r="S484" s="25"/>
      <c r="T484" s="73"/>
    </row>
    <row r="485" spans="1:20" s="15" customFormat="1" ht="26.4">
      <c r="A485" s="106" t="s">
        <v>698</v>
      </c>
      <c r="B485" s="11"/>
      <c r="C485" s="11" t="s">
        <v>57</v>
      </c>
      <c r="D485" s="23"/>
      <c r="E485" s="24"/>
      <c r="F485" s="24"/>
      <c r="G485" s="24"/>
      <c r="H485" s="25">
        <f>H487+H488</f>
        <v>817.75900000000001</v>
      </c>
      <c r="I485" s="25">
        <f>I487+I488</f>
        <v>595.65898000000004</v>
      </c>
      <c r="J485" s="25">
        <f t="shared" ref="J485:O485" si="234">J487+J488</f>
        <v>0</v>
      </c>
      <c r="K485" s="25">
        <f t="shared" si="234"/>
        <v>0</v>
      </c>
      <c r="L485" s="25">
        <f t="shared" si="234"/>
        <v>0</v>
      </c>
      <c r="M485" s="25">
        <f t="shared" si="234"/>
        <v>0</v>
      </c>
      <c r="N485" s="25">
        <f t="shared" si="234"/>
        <v>0</v>
      </c>
      <c r="O485" s="25">
        <f t="shared" si="234"/>
        <v>0</v>
      </c>
      <c r="P485" s="25">
        <f>P487+P488</f>
        <v>0</v>
      </c>
      <c r="Q485" s="25">
        <f>Q487+Q488</f>
        <v>0</v>
      </c>
      <c r="R485" s="25">
        <f t="shared" ref="R485:S485" si="235">R487+R488</f>
        <v>0</v>
      </c>
      <c r="S485" s="25">
        <f t="shared" si="235"/>
        <v>0</v>
      </c>
      <c r="T485" s="73"/>
    </row>
    <row r="486" spans="1:20" s="15" customFormat="1" ht="13.2">
      <c r="A486" s="106"/>
      <c r="B486" s="11"/>
      <c r="C486" s="11" t="s">
        <v>250</v>
      </c>
      <c r="D486" s="23"/>
      <c r="E486" s="24"/>
      <c r="F486" s="24"/>
      <c r="G486" s="24"/>
      <c r="H486" s="25"/>
      <c r="I486" s="25"/>
      <c r="J486" s="25"/>
      <c r="K486" s="25"/>
      <c r="L486" s="25"/>
      <c r="M486" s="25"/>
      <c r="N486" s="25"/>
      <c r="O486" s="25"/>
      <c r="P486" s="25"/>
      <c r="Q486" s="25"/>
      <c r="R486" s="25"/>
      <c r="S486" s="25"/>
      <c r="T486" s="73"/>
    </row>
    <row r="487" spans="1:20" s="15" customFormat="1" ht="118.8">
      <c r="A487" s="106"/>
      <c r="B487" s="11" t="s">
        <v>519</v>
      </c>
      <c r="C487" s="109" t="s">
        <v>346</v>
      </c>
      <c r="D487" s="23" t="s">
        <v>347</v>
      </c>
      <c r="E487" s="24" t="s">
        <v>351</v>
      </c>
      <c r="F487" s="24" t="s">
        <v>520</v>
      </c>
      <c r="G487" s="24" t="s">
        <v>141</v>
      </c>
      <c r="H487" s="25">
        <v>793.08600000000001</v>
      </c>
      <c r="I487" s="25">
        <v>570.98599999999999</v>
      </c>
      <c r="J487" s="25"/>
      <c r="K487" s="25"/>
      <c r="L487" s="25"/>
      <c r="M487" s="25"/>
      <c r="N487" s="25"/>
      <c r="O487" s="25"/>
      <c r="P487" s="25"/>
      <c r="Q487" s="25"/>
      <c r="R487" s="25"/>
      <c r="S487" s="25"/>
      <c r="T487" s="75"/>
    </row>
    <row r="488" spans="1:20" s="15" customFormat="1" ht="26.4">
      <c r="A488" s="106"/>
      <c r="B488" s="11" t="s">
        <v>521</v>
      </c>
      <c r="C488" s="111"/>
      <c r="D488" s="23" t="s">
        <v>347</v>
      </c>
      <c r="E488" s="24" t="s">
        <v>351</v>
      </c>
      <c r="F488" s="24" t="s">
        <v>522</v>
      </c>
      <c r="G488" s="24" t="s">
        <v>141</v>
      </c>
      <c r="H488" s="25">
        <v>24.672999999999998</v>
      </c>
      <c r="I488" s="25">
        <v>24.672979999999999</v>
      </c>
      <c r="J488" s="25"/>
      <c r="K488" s="25"/>
      <c r="L488" s="25"/>
      <c r="M488" s="25"/>
      <c r="N488" s="25"/>
      <c r="O488" s="25"/>
      <c r="P488" s="25"/>
      <c r="Q488" s="25"/>
      <c r="R488" s="25"/>
      <c r="S488" s="25"/>
      <c r="T488" s="73"/>
    </row>
    <row r="489" spans="1:20" s="15" customFormat="1" ht="83.25" customHeight="1">
      <c r="A489" s="109" t="s">
        <v>130</v>
      </c>
      <c r="B489" s="109" t="s">
        <v>523</v>
      </c>
      <c r="C489" s="11" t="s">
        <v>57</v>
      </c>
      <c r="D489" s="23"/>
      <c r="E489" s="23"/>
      <c r="F489" s="23"/>
      <c r="G489" s="23"/>
      <c r="H489" s="25">
        <f>H490</f>
        <v>21494.384999999998</v>
      </c>
      <c r="I489" s="25">
        <f>I490</f>
        <v>21494.384999999998</v>
      </c>
      <c r="J489" s="25">
        <f t="shared" ref="J489:O489" si="236">J490</f>
        <v>0</v>
      </c>
      <c r="K489" s="25">
        <f t="shared" si="236"/>
        <v>0</v>
      </c>
      <c r="L489" s="25">
        <f t="shared" si="236"/>
        <v>0</v>
      </c>
      <c r="M489" s="25">
        <f t="shared" si="236"/>
        <v>0</v>
      </c>
      <c r="N489" s="25">
        <f t="shared" si="236"/>
        <v>0</v>
      </c>
      <c r="O489" s="25">
        <f t="shared" si="236"/>
        <v>0</v>
      </c>
      <c r="P489" s="25">
        <f>P490</f>
        <v>0</v>
      </c>
      <c r="Q489" s="25">
        <f>Q490</f>
        <v>0</v>
      </c>
      <c r="R489" s="25">
        <f t="shared" ref="R489:S489" si="237">R490</f>
        <v>224.9</v>
      </c>
      <c r="S489" s="25">
        <f t="shared" si="237"/>
        <v>0</v>
      </c>
      <c r="T489" s="73"/>
    </row>
    <row r="490" spans="1:20" s="15" customFormat="1" ht="83.25" customHeight="1">
      <c r="A490" s="110"/>
      <c r="B490" s="110"/>
      <c r="C490" s="11" t="s">
        <v>350</v>
      </c>
      <c r="D490" s="23" t="s">
        <v>347</v>
      </c>
      <c r="E490" s="23" t="s">
        <v>524</v>
      </c>
      <c r="F490" s="23" t="s">
        <v>525</v>
      </c>
      <c r="G490" s="23" t="s">
        <v>137</v>
      </c>
      <c r="H490" s="25">
        <v>21494.384999999998</v>
      </c>
      <c r="I490" s="25">
        <v>21494.384999999998</v>
      </c>
      <c r="J490" s="25"/>
      <c r="K490" s="25"/>
      <c r="L490" s="25"/>
      <c r="M490" s="25"/>
      <c r="N490" s="25"/>
      <c r="O490" s="25"/>
      <c r="P490" s="25"/>
      <c r="Q490" s="25"/>
      <c r="R490" s="25">
        <v>224.9</v>
      </c>
      <c r="S490" s="25"/>
      <c r="T490" s="73"/>
    </row>
    <row r="491" spans="1:20" s="15" customFormat="1" ht="43.5" customHeight="1">
      <c r="A491" s="132" t="s">
        <v>135</v>
      </c>
      <c r="B491" s="132" t="s">
        <v>526</v>
      </c>
      <c r="C491" s="11" t="s">
        <v>57</v>
      </c>
      <c r="D491" s="23"/>
      <c r="E491" s="23"/>
      <c r="F491" s="23"/>
      <c r="G491" s="23"/>
      <c r="H491" s="25">
        <f>H492</f>
        <v>18.079999999999998</v>
      </c>
      <c r="I491" s="25">
        <f>I492</f>
        <v>18.079999999999998</v>
      </c>
      <c r="J491" s="25">
        <f t="shared" ref="J491:O491" si="238">J492</f>
        <v>18.079999999999998</v>
      </c>
      <c r="K491" s="25">
        <f t="shared" si="238"/>
        <v>18.079999999999998</v>
      </c>
      <c r="L491" s="25">
        <f t="shared" si="238"/>
        <v>55.2</v>
      </c>
      <c r="M491" s="25">
        <f t="shared" si="238"/>
        <v>54.24</v>
      </c>
      <c r="N491" s="25">
        <f t="shared" si="238"/>
        <v>82.32</v>
      </c>
      <c r="O491" s="25">
        <f t="shared" si="238"/>
        <v>81.36</v>
      </c>
      <c r="P491" s="25">
        <f>P492</f>
        <v>138.47999999999999</v>
      </c>
      <c r="Q491" s="25">
        <f>Q492</f>
        <v>138.47999999999999</v>
      </c>
      <c r="R491" s="25"/>
      <c r="S491" s="25"/>
      <c r="T491" s="73"/>
    </row>
    <row r="492" spans="1:20" s="15" customFormat="1" ht="43.5" customHeight="1">
      <c r="A492" s="132"/>
      <c r="B492" s="132"/>
      <c r="C492" s="11" t="s">
        <v>350</v>
      </c>
      <c r="D492" s="23" t="s">
        <v>347</v>
      </c>
      <c r="E492" s="23" t="s">
        <v>527</v>
      </c>
      <c r="F492" s="23" t="s">
        <v>528</v>
      </c>
      <c r="G492" s="23" t="s">
        <v>83</v>
      </c>
      <c r="H492" s="25">
        <v>18.079999999999998</v>
      </c>
      <c r="I492" s="25">
        <v>18.079999999999998</v>
      </c>
      <c r="J492" s="25">
        <v>18.079999999999998</v>
      </c>
      <c r="K492" s="25">
        <v>18.079999999999998</v>
      </c>
      <c r="L492" s="25">
        <v>55.2</v>
      </c>
      <c r="M492" s="25">
        <v>54.24</v>
      </c>
      <c r="N492" s="25">
        <v>82.32</v>
      </c>
      <c r="O492" s="25">
        <v>81.36</v>
      </c>
      <c r="P492" s="25">
        <v>138.47999999999999</v>
      </c>
      <c r="Q492" s="25">
        <v>138.47999999999999</v>
      </c>
      <c r="R492" s="25"/>
      <c r="S492" s="25"/>
      <c r="T492" s="73"/>
    </row>
    <row r="494" spans="1:20">
      <c r="A494" s="44"/>
    </row>
    <row r="495" spans="1:20">
      <c r="A495" s="44"/>
      <c r="B495" s="44"/>
      <c r="C495" s="44"/>
      <c r="D495" s="44"/>
      <c r="H495" s="43">
        <f t="shared" ref="H495:S495" si="239">H10+H112+H199+H280+H291+H335+H355+H365+H394+H411+H440+H454+H471</f>
        <v>1181001.5339800001</v>
      </c>
      <c r="I495" s="43">
        <f>I10+I112+I199+I280+I291+I335+I355+I365+I394+I411+I440+I454+I471</f>
        <v>1120558.9769299999</v>
      </c>
      <c r="J495" s="43">
        <f t="shared" si="239"/>
        <v>189817.3113</v>
      </c>
      <c r="K495" s="43">
        <f t="shared" si="239"/>
        <v>189108.97398000001</v>
      </c>
      <c r="L495" s="43">
        <f t="shared" si="239"/>
        <v>457462.63986</v>
      </c>
      <c r="M495" s="43">
        <f t="shared" si="239"/>
        <v>456796.40147999994</v>
      </c>
      <c r="N495" s="43">
        <f t="shared" si="239"/>
        <v>639650.88645999995</v>
      </c>
      <c r="O495" s="43">
        <f t="shared" si="239"/>
        <v>632263.69697999989</v>
      </c>
      <c r="P495" s="43">
        <f t="shared" si="239"/>
        <v>1079942.96829</v>
      </c>
      <c r="Q495" s="43">
        <f t="shared" si="239"/>
        <v>1024360.3160529997</v>
      </c>
      <c r="R495" s="43">
        <f t="shared" si="239"/>
        <v>972906.74426000006</v>
      </c>
      <c r="S495" s="43">
        <f t="shared" si="239"/>
        <v>817787.73099999991</v>
      </c>
    </row>
  </sheetData>
  <mergeCells count="228">
    <mergeCell ref="A363:A364"/>
    <mergeCell ref="A355:A358"/>
    <mergeCell ref="B355:B358"/>
    <mergeCell ref="A359:A360"/>
    <mergeCell ref="B359:B360"/>
    <mergeCell ref="A361:A362"/>
    <mergeCell ref="B361:B362"/>
    <mergeCell ref="A289:A290"/>
    <mergeCell ref="B289:B290"/>
    <mergeCell ref="A291:A295"/>
    <mergeCell ref="A353:A354"/>
    <mergeCell ref="B353:B354"/>
    <mergeCell ref="A348:A350"/>
    <mergeCell ref="B348:B350"/>
    <mergeCell ref="C344:C345"/>
    <mergeCell ref="C331:C334"/>
    <mergeCell ref="A322:A334"/>
    <mergeCell ref="A346:A347"/>
    <mergeCell ref="A280:A282"/>
    <mergeCell ref="B280:B282"/>
    <mergeCell ref="A255:A258"/>
    <mergeCell ref="C256:C258"/>
    <mergeCell ref="B339:B340"/>
    <mergeCell ref="A341:A342"/>
    <mergeCell ref="B341:B342"/>
    <mergeCell ref="A343:A345"/>
    <mergeCell ref="B343:B345"/>
    <mergeCell ref="B346:B347"/>
    <mergeCell ref="A259:A263"/>
    <mergeCell ref="C260:C263"/>
    <mergeCell ref="C265:C273"/>
    <mergeCell ref="B261:B263"/>
    <mergeCell ref="A264:A279"/>
    <mergeCell ref="B278:B279"/>
    <mergeCell ref="C275:C279"/>
    <mergeCell ref="B440:B441"/>
    <mergeCell ref="A449:A453"/>
    <mergeCell ref="A416:A430"/>
    <mergeCell ref="B421:B422"/>
    <mergeCell ref="B424:B425"/>
    <mergeCell ref="A431:A434"/>
    <mergeCell ref="A435:A439"/>
    <mergeCell ref="B435:B439"/>
    <mergeCell ref="C451:C452"/>
    <mergeCell ref="A440:A441"/>
    <mergeCell ref="C432:C434"/>
    <mergeCell ref="C445:C448"/>
    <mergeCell ref="C438:C439"/>
    <mergeCell ref="A378:A379"/>
    <mergeCell ref="B378:B379"/>
    <mergeCell ref="A380:A381"/>
    <mergeCell ref="B380:B381"/>
    <mergeCell ref="A382:A383"/>
    <mergeCell ref="B382:B383"/>
    <mergeCell ref="A368:A369"/>
    <mergeCell ref="B368:B369"/>
    <mergeCell ref="A372:A373"/>
    <mergeCell ref="B372:B373"/>
    <mergeCell ref="A374:A375"/>
    <mergeCell ref="B374:B375"/>
    <mergeCell ref="A370:A371"/>
    <mergeCell ref="B370:B371"/>
    <mergeCell ref="A376:A377"/>
    <mergeCell ref="B376:B377"/>
    <mergeCell ref="A365:A367"/>
    <mergeCell ref="B365:B367"/>
    <mergeCell ref="A351:A352"/>
    <mergeCell ref="B351:B352"/>
    <mergeCell ref="B363:B364"/>
    <mergeCell ref="B291:B295"/>
    <mergeCell ref="B306:B307"/>
    <mergeCell ref="C323:C330"/>
    <mergeCell ref="A283:A284"/>
    <mergeCell ref="B283:B284"/>
    <mergeCell ref="A285:A286"/>
    <mergeCell ref="B285:B286"/>
    <mergeCell ref="A287:A288"/>
    <mergeCell ref="B287:B288"/>
    <mergeCell ref="C298:C314"/>
    <mergeCell ref="C315:C318"/>
    <mergeCell ref="A296:A321"/>
    <mergeCell ref="C319:C321"/>
    <mergeCell ref="C349:C350"/>
    <mergeCell ref="A335:A336"/>
    <mergeCell ref="B335:B336"/>
    <mergeCell ref="A337:A338"/>
    <mergeCell ref="B337:B338"/>
    <mergeCell ref="A339:A340"/>
    <mergeCell ref="A182:A198"/>
    <mergeCell ref="C183:C198"/>
    <mergeCell ref="B186:B187"/>
    <mergeCell ref="A251:A253"/>
    <mergeCell ref="B251:B253"/>
    <mergeCell ref="C252:C253"/>
    <mergeCell ref="A204:B204"/>
    <mergeCell ref="A254:B254"/>
    <mergeCell ref="A199:A203"/>
    <mergeCell ref="B199:B203"/>
    <mergeCell ref="A205:A231"/>
    <mergeCell ref="C206:C230"/>
    <mergeCell ref="A232:A242"/>
    <mergeCell ref="C233:C242"/>
    <mergeCell ref="A243:A248"/>
    <mergeCell ref="C244:C248"/>
    <mergeCell ref="A249:A250"/>
    <mergeCell ref="A12:A71"/>
    <mergeCell ref="B22:B23"/>
    <mergeCell ref="B50:B51"/>
    <mergeCell ref="B65:B68"/>
    <mergeCell ref="A114:A134"/>
    <mergeCell ref="C115:C134"/>
    <mergeCell ref="C136:C159"/>
    <mergeCell ref="B140:B141"/>
    <mergeCell ref="A162:A181"/>
    <mergeCell ref="C163:C181"/>
    <mergeCell ref="A135:A161"/>
    <mergeCell ref="A85:A86"/>
    <mergeCell ref="B85:B86"/>
    <mergeCell ref="A87:A91"/>
    <mergeCell ref="B87:B91"/>
    <mergeCell ref="C89:C91"/>
    <mergeCell ref="A92:A97"/>
    <mergeCell ref="B92:B97"/>
    <mergeCell ref="C94:C97"/>
    <mergeCell ref="A109:A111"/>
    <mergeCell ref="B109:B111"/>
    <mergeCell ref="A101:A104"/>
    <mergeCell ref="B101:B104"/>
    <mergeCell ref="C103:C104"/>
    <mergeCell ref="R1:T1"/>
    <mergeCell ref="R2:T2"/>
    <mergeCell ref="A4:T4"/>
    <mergeCell ref="A6:A9"/>
    <mergeCell ref="B6:B9"/>
    <mergeCell ref="C6:C9"/>
    <mergeCell ref="D6:G6"/>
    <mergeCell ref="H6:S6"/>
    <mergeCell ref="T6:T9"/>
    <mergeCell ref="D7:D9"/>
    <mergeCell ref="E7:E9"/>
    <mergeCell ref="F7:F9"/>
    <mergeCell ref="G7:G9"/>
    <mergeCell ref="H7:I8"/>
    <mergeCell ref="J7:Q7"/>
    <mergeCell ref="R7:S8"/>
    <mergeCell ref="J8:K8"/>
    <mergeCell ref="L8:M8"/>
    <mergeCell ref="N8:O8"/>
    <mergeCell ref="P8:Q8"/>
    <mergeCell ref="A10:A11"/>
    <mergeCell ref="B10:B11"/>
    <mergeCell ref="B14:B16"/>
    <mergeCell ref="A478:A484"/>
    <mergeCell ref="A384:A385"/>
    <mergeCell ref="B384:B385"/>
    <mergeCell ref="A386:A387"/>
    <mergeCell ref="B386:B387"/>
    <mergeCell ref="A392:A393"/>
    <mergeCell ref="B392:B393"/>
    <mergeCell ref="B432:B434"/>
    <mergeCell ref="A443:A448"/>
    <mergeCell ref="A404:A405"/>
    <mergeCell ref="B404:B405"/>
    <mergeCell ref="A406:A410"/>
    <mergeCell ref="A411:A415"/>
    <mergeCell ref="B411:B415"/>
    <mergeCell ref="A388:A389"/>
    <mergeCell ref="B388:B389"/>
    <mergeCell ref="A390:A391"/>
    <mergeCell ref="B390:B391"/>
    <mergeCell ref="A394:A398"/>
    <mergeCell ref="B394:B398"/>
    <mergeCell ref="A399:A403"/>
    <mergeCell ref="A491:A492"/>
    <mergeCell ref="B491:B492"/>
    <mergeCell ref="B481:B482"/>
    <mergeCell ref="A456:A470"/>
    <mergeCell ref="C458:C470"/>
    <mergeCell ref="A98:A100"/>
    <mergeCell ref="B98:B100"/>
    <mergeCell ref="A105:A108"/>
    <mergeCell ref="B105:B108"/>
    <mergeCell ref="C107:C108"/>
    <mergeCell ref="A112:A113"/>
    <mergeCell ref="B112:B113"/>
    <mergeCell ref="A473:A477"/>
    <mergeCell ref="C475:C477"/>
    <mergeCell ref="A485:A488"/>
    <mergeCell ref="C487:C488"/>
    <mergeCell ref="A489:A490"/>
    <mergeCell ref="B489:B490"/>
    <mergeCell ref="A454:A455"/>
    <mergeCell ref="B454:B455"/>
    <mergeCell ref="A471:A472"/>
    <mergeCell ref="B471:B472"/>
    <mergeCell ref="B483:B484"/>
    <mergeCell ref="C480:C484"/>
    <mergeCell ref="A79:A80"/>
    <mergeCell ref="B79:B80"/>
    <mergeCell ref="A81:A84"/>
    <mergeCell ref="B81:B84"/>
    <mergeCell ref="C83:C84"/>
    <mergeCell ref="A72:A75"/>
    <mergeCell ref="B72:B75"/>
    <mergeCell ref="A76:A78"/>
    <mergeCell ref="B76:B78"/>
    <mergeCell ref="T44:T46"/>
    <mergeCell ref="T55:T56"/>
    <mergeCell ref="T89:T90"/>
    <mergeCell ref="T188:T195"/>
    <mergeCell ref="B249:B250"/>
    <mergeCell ref="B47:B49"/>
    <mergeCell ref="B53:B54"/>
    <mergeCell ref="B55:B57"/>
    <mergeCell ref="C13:C71"/>
    <mergeCell ref="C74:C75"/>
    <mergeCell ref="T34:T35"/>
    <mergeCell ref="T47:T49"/>
    <mergeCell ref="T50:T51"/>
    <mergeCell ref="T94:T96"/>
    <mergeCell ref="B17:B18"/>
    <mergeCell ref="B28:B29"/>
    <mergeCell ref="B32:B33"/>
    <mergeCell ref="B34:B35"/>
    <mergeCell ref="B37:B38"/>
    <mergeCell ref="B44:B46"/>
    <mergeCell ref="B188:B190"/>
    <mergeCell ref="B191:B196"/>
  </mergeCells>
  <pageMargins left="0.19685039370078741" right="0.19685039370078741" top="0.98425196850393704" bottom="0.98425196850393704" header="0" footer="0"/>
  <pageSetup paperSize="9" scale="49" fitToHeight="32"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I500"/>
  <sheetViews>
    <sheetView tabSelected="1" zoomScale="80" zoomScaleNormal="80" workbookViewId="0">
      <selection activeCell="I9" sqref="I9"/>
    </sheetView>
  </sheetViews>
  <sheetFormatPr defaultRowHeight="14.4"/>
  <cols>
    <col min="1" max="1" width="18.5546875" customWidth="1"/>
    <col min="2" max="2" width="43.33203125" customWidth="1"/>
    <col min="3" max="3" width="26.33203125" customWidth="1"/>
    <col min="4" max="5" width="5.88671875" style="12" customWidth="1"/>
    <col min="6" max="6" width="8" style="12" customWidth="1"/>
    <col min="7" max="7" width="7.33203125" style="12" customWidth="1"/>
    <col min="8" max="8" width="14.33203125" style="13" customWidth="1"/>
    <col min="9" max="9" width="12.44140625" style="13" customWidth="1"/>
    <col min="195" max="195" width="17.88671875" customWidth="1"/>
    <col min="196" max="196" width="15.6640625" customWidth="1"/>
    <col min="197" max="197" width="26.33203125" customWidth="1"/>
    <col min="198" max="213" width="5.88671875" customWidth="1"/>
    <col min="214" max="214" width="22.6640625" customWidth="1"/>
    <col min="451" max="451" width="17.88671875" customWidth="1"/>
    <col min="452" max="452" width="15.6640625" customWidth="1"/>
    <col min="453" max="453" width="26.33203125" customWidth="1"/>
    <col min="454" max="469" width="5.88671875" customWidth="1"/>
    <col min="470" max="470" width="22.6640625" customWidth="1"/>
    <col min="707" max="707" width="17.88671875" customWidth="1"/>
    <col min="708" max="708" width="15.6640625" customWidth="1"/>
    <col min="709" max="709" width="26.33203125" customWidth="1"/>
    <col min="710" max="725" width="5.88671875" customWidth="1"/>
    <col min="726" max="726" width="22.6640625" customWidth="1"/>
    <col min="963" max="963" width="17.88671875" customWidth="1"/>
    <col min="964" max="964" width="15.6640625" customWidth="1"/>
    <col min="965" max="965" width="26.33203125" customWidth="1"/>
    <col min="966" max="981" width="5.88671875" customWidth="1"/>
    <col min="982" max="982" width="22.6640625" customWidth="1"/>
    <col min="1219" max="1219" width="17.88671875" customWidth="1"/>
    <col min="1220" max="1220" width="15.6640625" customWidth="1"/>
    <col min="1221" max="1221" width="26.33203125" customWidth="1"/>
    <col min="1222" max="1237" width="5.88671875" customWidth="1"/>
    <col min="1238" max="1238" width="22.6640625" customWidth="1"/>
    <col min="1475" max="1475" width="17.88671875" customWidth="1"/>
    <col min="1476" max="1476" width="15.6640625" customWidth="1"/>
    <col min="1477" max="1477" width="26.33203125" customWidth="1"/>
    <col min="1478" max="1493" width="5.88671875" customWidth="1"/>
    <col min="1494" max="1494" width="22.6640625" customWidth="1"/>
    <col min="1731" max="1731" width="17.88671875" customWidth="1"/>
    <col min="1732" max="1732" width="15.6640625" customWidth="1"/>
    <col min="1733" max="1733" width="26.33203125" customWidth="1"/>
    <col min="1734" max="1749" width="5.88671875" customWidth="1"/>
    <col min="1750" max="1750" width="22.6640625" customWidth="1"/>
    <col min="1987" max="1987" width="17.88671875" customWidth="1"/>
    <col min="1988" max="1988" width="15.6640625" customWidth="1"/>
    <col min="1989" max="1989" width="26.33203125" customWidth="1"/>
    <col min="1990" max="2005" width="5.88671875" customWidth="1"/>
    <col min="2006" max="2006" width="22.6640625" customWidth="1"/>
    <col min="2243" max="2243" width="17.88671875" customWidth="1"/>
    <col min="2244" max="2244" width="15.6640625" customWidth="1"/>
    <col min="2245" max="2245" width="26.33203125" customWidth="1"/>
    <col min="2246" max="2261" width="5.88671875" customWidth="1"/>
    <col min="2262" max="2262" width="22.6640625" customWidth="1"/>
    <col min="2499" max="2499" width="17.88671875" customWidth="1"/>
    <col min="2500" max="2500" width="15.6640625" customWidth="1"/>
    <col min="2501" max="2501" width="26.33203125" customWidth="1"/>
    <col min="2502" max="2517" width="5.88671875" customWidth="1"/>
    <col min="2518" max="2518" width="22.6640625" customWidth="1"/>
    <col min="2755" max="2755" width="17.88671875" customWidth="1"/>
    <col min="2756" max="2756" width="15.6640625" customWidth="1"/>
    <col min="2757" max="2757" width="26.33203125" customWidth="1"/>
    <col min="2758" max="2773" width="5.88671875" customWidth="1"/>
    <col min="2774" max="2774" width="22.6640625" customWidth="1"/>
    <col min="3011" max="3011" width="17.88671875" customWidth="1"/>
    <col min="3012" max="3012" width="15.6640625" customWidth="1"/>
    <col min="3013" max="3013" width="26.33203125" customWidth="1"/>
    <col min="3014" max="3029" width="5.88671875" customWidth="1"/>
    <col min="3030" max="3030" width="22.6640625" customWidth="1"/>
    <col min="3267" max="3267" width="17.88671875" customWidth="1"/>
    <col min="3268" max="3268" width="15.6640625" customWidth="1"/>
    <col min="3269" max="3269" width="26.33203125" customWidth="1"/>
    <col min="3270" max="3285" width="5.88671875" customWidth="1"/>
    <col min="3286" max="3286" width="22.6640625" customWidth="1"/>
    <col min="3523" max="3523" width="17.88671875" customWidth="1"/>
    <col min="3524" max="3524" width="15.6640625" customWidth="1"/>
    <col min="3525" max="3525" width="26.33203125" customWidth="1"/>
    <col min="3526" max="3541" width="5.88671875" customWidth="1"/>
    <col min="3542" max="3542" width="22.6640625" customWidth="1"/>
    <col min="3779" max="3779" width="17.88671875" customWidth="1"/>
    <col min="3780" max="3780" width="15.6640625" customWidth="1"/>
    <col min="3781" max="3781" width="26.33203125" customWidth="1"/>
    <col min="3782" max="3797" width="5.88671875" customWidth="1"/>
    <col min="3798" max="3798" width="22.6640625" customWidth="1"/>
    <col min="4035" max="4035" width="17.88671875" customWidth="1"/>
    <col min="4036" max="4036" width="15.6640625" customWidth="1"/>
    <col min="4037" max="4037" width="26.33203125" customWidth="1"/>
    <col min="4038" max="4053" width="5.88671875" customWidth="1"/>
    <col min="4054" max="4054" width="22.6640625" customWidth="1"/>
    <col min="4291" max="4291" width="17.88671875" customWidth="1"/>
    <col min="4292" max="4292" width="15.6640625" customWidth="1"/>
    <col min="4293" max="4293" width="26.33203125" customWidth="1"/>
    <col min="4294" max="4309" width="5.88671875" customWidth="1"/>
    <col min="4310" max="4310" width="22.6640625" customWidth="1"/>
    <col min="4547" max="4547" width="17.88671875" customWidth="1"/>
    <col min="4548" max="4548" width="15.6640625" customWidth="1"/>
    <col min="4549" max="4549" width="26.33203125" customWidth="1"/>
    <col min="4550" max="4565" width="5.88671875" customWidth="1"/>
    <col min="4566" max="4566" width="22.6640625" customWidth="1"/>
    <col min="4803" max="4803" width="17.88671875" customWidth="1"/>
    <col min="4804" max="4804" width="15.6640625" customWidth="1"/>
    <col min="4805" max="4805" width="26.33203125" customWidth="1"/>
    <col min="4806" max="4821" width="5.88671875" customWidth="1"/>
    <col min="4822" max="4822" width="22.6640625" customWidth="1"/>
    <col min="5059" max="5059" width="17.88671875" customWidth="1"/>
    <col min="5060" max="5060" width="15.6640625" customWidth="1"/>
    <col min="5061" max="5061" width="26.33203125" customWidth="1"/>
    <col min="5062" max="5077" width="5.88671875" customWidth="1"/>
    <col min="5078" max="5078" width="22.6640625" customWidth="1"/>
    <col min="5315" max="5315" width="17.88671875" customWidth="1"/>
    <col min="5316" max="5316" width="15.6640625" customWidth="1"/>
    <col min="5317" max="5317" width="26.33203125" customWidth="1"/>
    <col min="5318" max="5333" width="5.88671875" customWidth="1"/>
    <col min="5334" max="5334" width="22.6640625" customWidth="1"/>
    <col min="5571" max="5571" width="17.88671875" customWidth="1"/>
    <col min="5572" max="5572" width="15.6640625" customWidth="1"/>
    <col min="5573" max="5573" width="26.33203125" customWidth="1"/>
    <col min="5574" max="5589" width="5.88671875" customWidth="1"/>
    <col min="5590" max="5590" width="22.6640625" customWidth="1"/>
    <col min="5827" max="5827" width="17.88671875" customWidth="1"/>
    <col min="5828" max="5828" width="15.6640625" customWidth="1"/>
    <col min="5829" max="5829" width="26.33203125" customWidth="1"/>
    <col min="5830" max="5845" width="5.88671875" customWidth="1"/>
    <col min="5846" max="5846" width="22.6640625" customWidth="1"/>
    <col min="6083" max="6083" width="17.88671875" customWidth="1"/>
    <col min="6084" max="6084" width="15.6640625" customWidth="1"/>
    <col min="6085" max="6085" width="26.33203125" customWidth="1"/>
    <col min="6086" max="6101" width="5.88671875" customWidth="1"/>
    <col min="6102" max="6102" width="22.6640625" customWidth="1"/>
    <col min="6339" max="6339" width="17.88671875" customWidth="1"/>
    <col min="6340" max="6340" width="15.6640625" customWidth="1"/>
    <col min="6341" max="6341" width="26.33203125" customWidth="1"/>
    <col min="6342" max="6357" width="5.88671875" customWidth="1"/>
    <col min="6358" max="6358" width="22.6640625" customWidth="1"/>
    <col min="6595" max="6595" width="17.88671875" customWidth="1"/>
    <col min="6596" max="6596" width="15.6640625" customWidth="1"/>
    <col min="6597" max="6597" width="26.33203125" customWidth="1"/>
    <col min="6598" max="6613" width="5.88671875" customWidth="1"/>
    <col min="6614" max="6614" width="22.6640625" customWidth="1"/>
    <col min="6851" max="6851" width="17.88671875" customWidth="1"/>
    <col min="6852" max="6852" width="15.6640625" customWidth="1"/>
    <col min="6853" max="6853" width="26.33203125" customWidth="1"/>
    <col min="6854" max="6869" width="5.88671875" customWidth="1"/>
    <col min="6870" max="6870" width="22.6640625" customWidth="1"/>
    <col min="7107" max="7107" width="17.88671875" customWidth="1"/>
    <col min="7108" max="7108" width="15.6640625" customWidth="1"/>
    <col min="7109" max="7109" width="26.33203125" customWidth="1"/>
    <col min="7110" max="7125" width="5.88671875" customWidth="1"/>
    <col min="7126" max="7126" width="22.6640625" customWidth="1"/>
    <col min="7363" max="7363" width="17.88671875" customWidth="1"/>
    <col min="7364" max="7364" width="15.6640625" customWidth="1"/>
    <col min="7365" max="7365" width="26.33203125" customWidth="1"/>
    <col min="7366" max="7381" width="5.88671875" customWidth="1"/>
    <col min="7382" max="7382" width="22.6640625" customWidth="1"/>
    <col min="7619" max="7619" width="17.88671875" customWidth="1"/>
    <col min="7620" max="7620" width="15.6640625" customWidth="1"/>
    <col min="7621" max="7621" width="26.33203125" customWidth="1"/>
    <col min="7622" max="7637" width="5.88671875" customWidth="1"/>
    <col min="7638" max="7638" width="22.6640625" customWidth="1"/>
    <col min="7875" max="7875" width="17.88671875" customWidth="1"/>
    <col min="7876" max="7876" width="15.6640625" customWidth="1"/>
    <col min="7877" max="7877" width="26.33203125" customWidth="1"/>
    <col min="7878" max="7893" width="5.88671875" customWidth="1"/>
    <col min="7894" max="7894" width="22.6640625" customWidth="1"/>
    <col min="8131" max="8131" width="17.88671875" customWidth="1"/>
    <col min="8132" max="8132" width="15.6640625" customWidth="1"/>
    <col min="8133" max="8133" width="26.33203125" customWidth="1"/>
    <col min="8134" max="8149" width="5.88671875" customWidth="1"/>
    <col min="8150" max="8150" width="22.6640625" customWidth="1"/>
    <col min="8387" max="8387" width="17.88671875" customWidth="1"/>
    <col min="8388" max="8388" width="15.6640625" customWidth="1"/>
    <col min="8389" max="8389" width="26.33203125" customWidth="1"/>
    <col min="8390" max="8405" width="5.88671875" customWidth="1"/>
    <col min="8406" max="8406" width="22.6640625" customWidth="1"/>
    <col min="8643" max="8643" width="17.88671875" customWidth="1"/>
    <col min="8644" max="8644" width="15.6640625" customWidth="1"/>
    <col min="8645" max="8645" width="26.33203125" customWidth="1"/>
    <col min="8646" max="8661" width="5.88671875" customWidth="1"/>
    <col min="8662" max="8662" width="22.6640625" customWidth="1"/>
    <col min="8899" max="8899" width="17.88671875" customWidth="1"/>
    <col min="8900" max="8900" width="15.6640625" customWidth="1"/>
    <col min="8901" max="8901" width="26.33203125" customWidth="1"/>
    <col min="8902" max="8917" width="5.88671875" customWidth="1"/>
    <col min="8918" max="8918" width="22.6640625" customWidth="1"/>
    <col min="9155" max="9155" width="17.88671875" customWidth="1"/>
    <col min="9156" max="9156" width="15.6640625" customWidth="1"/>
    <col min="9157" max="9157" width="26.33203125" customWidth="1"/>
    <col min="9158" max="9173" width="5.88671875" customWidth="1"/>
    <col min="9174" max="9174" width="22.6640625" customWidth="1"/>
    <col min="9411" max="9411" width="17.88671875" customWidth="1"/>
    <col min="9412" max="9412" width="15.6640625" customWidth="1"/>
    <col min="9413" max="9413" width="26.33203125" customWidth="1"/>
    <col min="9414" max="9429" width="5.88671875" customWidth="1"/>
    <col min="9430" max="9430" width="22.6640625" customWidth="1"/>
    <col min="9667" max="9667" width="17.88671875" customWidth="1"/>
    <col min="9668" max="9668" width="15.6640625" customWidth="1"/>
    <col min="9669" max="9669" width="26.33203125" customWidth="1"/>
    <col min="9670" max="9685" width="5.88671875" customWidth="1"/>
    <col min="9686" max="9686" width="22.6640625" customWidth="1"/>
    <col min="9923" max="9923" width="17.88671875" customWidth="1"/>
    <col min="9924" max="9924" width="15.6640625" customWidth="1"/>
    <col min="9925" max="9925" width="26.33203125" customWidth="1"/>
    <col min="9926" max="9941" width="5.88671875" customWidth="1"/>
    <col min="9942" max="9942" width="22.6640625" customWidth="1"/>
    <col min="10179" max="10179" width="17.88671875" customWidth="1"/>
    <col min="10180" max="10180" width="15.6640625" customWidth="1"/>
    <col min="10181" max="10181" width="26.33203125" customWidth="1"/>
    <col min="10182" max="10197" width="5.88671875" customWidth="1"/>
    <col min="10198" max="10198" width="22.6640625" customWidth="1"/>
    <col min="10435" max="10435" width="17.88671875" customWidth="1"/>
    <col min="10436" max="10436" width="15.6640625" customWidth="1"/>
    <col min="10437" max="10437" width="26.33203125" customWidth="1"/>
    <col min="10438" max="10453" width="5.88671875" customWidth="1"/>
    <col min="10454" max="10454" width="22.6640625" customWidth="1"/>
    <col min="10691" max="10691" width="17.88671875" customWidth="1"/>
    <col min="10692" max="10692" width="15.6640625" customWidth="1"/>
    <col min="10693" max="10693" width="26.33203125" customWidth="1"/>
    <col min="10694" max="10709" width="5.88671875" customWidth="1"/>
    <col min="10710" max="10710" width="22.6640625" customWidth="1"/>
    <col min="10947" max="10947" width="17.88671875" customWidth="1"/>
    <col min="10948" max="10948" width="15.6640625" customWidth="1"/>
    <col min="10949" max="10949" width="26.33203125" customWidth="1"/>
    <col min="10950" max="10965" width="5.88671875" customWidth="1"/>
    <col min="10966" max="10966" width="22.6640625" customWidth="1"/>
    <col min="11203" max="11203" width="17.88671875" customWidth="1"/>
    <col min="11204" max="11204" width="15.6640625" customWidth="1"/>
    <col min="11205" max="11205" width="26.33203125" customWidth="1"/>
    <col min="11206" max="11221" width="5.88671875" customWidth="1"/>
    <col min="11222" max="11222" width="22.6640625" customWidth="1"/>
    <col min="11459" max="11459" width="17.88671875" customWidth="1"/>
    <col min="11460" max="11460" width="15.6640625" customWidth="1"/>
    <col min="11461" max="11461" width="26.33203125" customWidth="1"/>
    <col min="11462" max="11477" width="5.88671875" customWidth="1"/>
    <col min="11478" max="11478" width="22.6640625" customWidth="1"/>
    <col min="11715" max="11715" width="17.88671875" customWidth="1"/>
    <col min="11716" max="11716" width="15.6640625" customWidth="1"/>
    <col min="11717" max="11717" width="26.33203125" customWidth="1"/>
    <col min="11718" max="11733" width="5.88671875" customWidth="1"/>
    <col min="11734" max="11734" width="22.6640625" customWidth="1"/>
    <col min="11971" max="11971" width="17.88671875" customWidth="1"/>
    <col min="11972" max="11972" width="15.6640625" customWidth="1"/>
    <col min="11973" max="11973" width="26.33203125" customWidth="1"/>
    <col min="11974" max="11989" width="5.88671875" customWidth="1"/>
    <col min="11990" max="11990" width="22.6640625" customWidth="1"/>
    <col min="12227" max="12227" width="17.88671875" customWidth="1"/>
    <col min="12228" max="12228" width="15.6640625" customWidth="1"/>
    <col min="12229" max="12229" width="26.33203125" customWidth="1"/>
    <col min="12230" max="12245" width="5.88671875" customWidth="1"/>
    <col min="12246" max="12246" width="22.6640625" customWidth="1"/>
    <col min="12483" max="12483" width="17.88671875" customWidth="1"/>
    <col min="12484" max="12484" width="15.6640625" customWidth="1"/>
    <col min="12485" max="12485" width="26.33203125" customWidth="1"/>
    <col min="12486" max="12501" width="5.88671875" customWidth="1"/>
    <col min="12502" max="12502" width="22.6640625" customWidth="1"/>
    <col min="12739" max="12739" width="17.88671875" customWidth="1"/>
    <col min="12740" max="12740" width="15.6640625" customWidth="1"/>
    <col min="12741" max="12741" width="26.33203125" customWidth="1"/>
    <col min="12742" max="12757" width="5.88671875" customWidth="1"/>
    <col min="12758" max="12758" width="22.6640625" customWidth="1"/>
    <col min="12995" max="12995" width="17.88671875" customWidth="1"/>
    <col min="12996" max="12996" width="15.6640625" customWidth="1"/>
    <col min="12997" max="12997" width="26.33203125" customWidth="1"/>
    <col min="12998" max="13013" width="5.88671875" customWidth="1"/>
    <col min="13014" max="13014" width="22.6640625" customWidth="1"/>
    <col min="13251" max="13251" width="17.88671875" customWidth="1"/>
    <col min="13252" max="13252" width="15.6640625" customWidth="1"/>
    <col min="13253" max="13253" width="26.33203125" customWidth="1"/>
    <col min="13254" max="13269" width="5.88671875" customWidth="1"/>
    <col min="13270" max="13270" width="22.6640625" customWidth="1"/>
    <col min="13507" max="13507" width="17.88671875" customWidth="1"/>
    <col min="13508" max="13508" width="15.6640625" customWidth="1"/>
    <col min="13509" max="13509" width="26.33203125" customWidth="1"/>
    <col min="13510" max="13525" width="5.88671875" customWidth="1"/>
    <col min="13526" max="13526" width="22.6640625" customWidth="1"/>
    <col min="13763" max="13763" width="17.88671875" customWidth="1"/>
    <col min="13764" max="13764" width="15.6640625" customWidth="1"/>
    <col min="13765" max="13765" width="26.33203125" customWidth="1"/>
    <col min="13766" max="13781" width="5.88671875" customWidth="1"/>
    <col min="13782" max="13782" width="22.6640625" customWidth="1"/>
    <col min="14019" max="14019" width="17.88671875" customWidth="1"/>
    <col min="14020" max="14020" width="15.6640625" customWidth="1"/>
    <col min="14021" max="14021" width="26.33203125" customWidth="1"/>
    <col min="14022" max="14037" width="5.88671875" customWidth="1"/>
    <col min="14038" max="14038" width="22.6640625" customWidth="1"/>
    <col min="14275" max="14275" width="17.88671875" customWidth="1"/>
    <col min="14276" max="14276" width="15.6640625" customWidth="1"/>
    <col min="14277" max="14277" width="26.33203125" customWidth="1"/>
    <col min="14278" max="14293" width="5.88671875" customWidth="1"/>
    <col min="14294" max="14294" width="22.6640625" customWidth="1"/>
    <col min="14531" max="14531" width="17.88671875" customWidth="1"/>
    <col min="14532" max="14532" width="15.6640625" customWidth="1"/>
    <col min="14533" max="14533" width="26.33203125" customWidth="1"/>
    <col min="14534" max="14549" width="5.88671875" customWidth="1"/>
    <col min="14550" max="14550" width="22.6640625" customWidth="1"/>
    <col min="14787" max="14787" width="17.88671875" customWidth="1"/>
    <col min="14788" max="14788" width="15.6640625" customWidth="1"/>
    <col min="14789" max="14789" width="26.33203125" customWidth="1"/>
    <col min="14790" max="14805" width="5.88671875" customWidth="1"/>
    <col min="14806" max="14806" width="22.6640625" customWidth="1"/>
    <col min="15043" max="15043" width="17.88671875" customWidth="1"/>
    <col min="15044" max="15044" width="15.6640625" customWidth="1"/>
    <col min="15045" max="15045" width="26.33203125" customWidth="1"/>
    <col min="15046" max="15061" width="5.88671875" customWidth="1"/>
    <col min="15062" max="15062" width="22.6640625" customWidth="1"/>
    <col min="15299" max="15299" width="17.88671875" customWidth="1"/>
    <col min="15300" max="15300" width="15.6640625" customWidth="1"/>
    <col min="15301" max="15301" width="26.33203125" customWidth="1"/>
    <col min="15302" max="15317" width="5.88671875" customWidth="1"/>
    <col min="15318" max="15318" width="22.6640625" customWidth="1"/>
    <col min="15555" max="15555" width="17.88671875" customWidth="1"/>
    <col min="15556" max="15556" width="15.6640625" customWidth="1"/>
    <col min="15557" max="15557" width="26.33203125" customWidth="1"/>
    <col min="15558" max="15573" width="5.88671875" customWidth="1"/>
    <col min="15574" max="15574" width="22.6640625" customWidth="1"/>
    <col min="15811" max="15811" width="17.88671875" customWidth="1"/>
    <col min="15812" max="15812" width="15.6640625" customWidth="1"/>
    <col min="15813" max="15813" width="26.33203125" customWidth="1"/>
    <col min="15814" max="15829" width="5.88671875" customWidth="1"/>
    <col min="15830" max="15830" width="22.6640625" customWidth="1"/>
  </cols>
  <sheetData>
    <row r="1" spans="1:9">
      <c r="A1" s="117" t="s">
        <v>760</v>
      </c>
      <c r="B1" s="117"/>
      <c r="C1" s="117"/>
      <c r="D1" s="117"/>
      <c r="E1" s="117"/>
      <c r="F1" s="117"/>
      <c r="G1" s="117"/>
      <c r="H1" s="117"/>
      <c r="I1" s="117"/>
    </row>
    <row r="2" spans="1:9">
      <c r="A2" s="117" t="s">
        <v>761</v>
      </c>
      <c r="B2" s="117"/>
      <c r="C2" s="117"/>
      <c r="D2" s="117"/>
      <c r="E2" s="117"/>
      <c r="F2" s="117"/>
      <c r="G2" s="117"/>
      <c r="H2" s="117"/>
      <c r="I2" s="117"/>
    </row>
    <row r="4" spans="1:9" s="15" customFormat="1" ht="12.75" customHeight="1">
      <c r="A4" s="122" t="s">
        <v>47</v>
      </c>
      <c r="B4" s="122" t="s">
        <v>48</v>
      </c>
      <c r="C4" s="122" t="s">
        <v>49</v>
      </c>
      <c r="D4" s="145" t="s">
        <v>50</v>
      </c>
      <c r="E4" s="145"/>
      <c r="F4" s="145"/>
      <c r="G4" s="145"/>
      <c r="H4" s="160" t="s">
        <v>762</v>
      </c>
      <c r="I4" s="161"/>
    </row>
    <row r="5" spans="1:9" s="15" customFormat="1" ht="12.75" customHeight="1">
      <c r="A5" s="122"/>
      <c r="B5" s="122"/>
      <c r="C5" s="122"/>
      <c r="D5" s="145" t="s">
        <v>53</v>
      </c>
      <c r="E5" s="145" t="s">
        <v>54</v>
      </c>
      <c r="F5" s="145" t="s">
        <v>55</v>
      </c>
      <c r="G5" s="145" t="s">
        <v>56</v>
      </c>
      <c r="H5" s="162"/>
      <c r="I5" s="163"/>
    </row>
    <row r="6" spans="1:9" s="15" customFormat="1" ht="26.25" customHeight="1">
      <c r="A6" s="122"/>
      <c r="B6" s="122"/>
      <c r="C6" s="122"/>
      <c r="D6" s="145"/>
      <c r="E6" s="145"/>
      <c r="F6" s="145"/>
      <c r="G6" s="145"/>
      <c r="H6" s="164"/>
      <c r="I6" s="165"/>
    </row>
    <row r="7" spans="1:9" s="15" customFormat="1" ht="39.6">
      <c r="A7" s="122"/>
      <c r="B7" s="122"/>
      <c r="C7" s="122"/>
      <c r="D7" s="145"/>
      <c r="E7" s="145"/>
      <c r="F7" s="145"/>
      <c r="G7" s="145"/>
      <c r="H7" s="88" t="s">
        <v>763</v>
      </c>
      <c r="I7" s="88" t="s">
        <v>764</v>
      </c>
    </row>
    <row r="8" spans="1:9" s="93" customFormat="1" ht="20.25" customHeight="1">
      <c r="A8" s="166" t="s">
        <v>28</v>
      </c>
      <c r="B8" s="166"/>
      <c r="C8" s="90" t="s">
        <v>57</v>
      </c>
      <c r="D8" s="91"/>
      <c r="E8" s="91"/>
      <c r="F8" s="91"/>
      <c r="G8" s="91"/>
      <c r="H8" s="92">
        <f>H9</f>
        <v>622283.70550000004</v>
      </c>
      <c r="I8" s="92">
        <f>I9</f>
        <v>617467.19410999992</v>
      </c>
    </row>
    <row r="9" spans="1:9" s="93" customFormat="1" ht="59.25" customHeight="1">
      <c r="A9" s="166"/>
      <c r="B9" s="166"/>
      <c r="C9" s="90" t="s">
        <v>58</v>
      </c>
      <c r="D9" s="91" t="s">
        <v>59</v>
      </c>
      <c r="E9" s="91"/>
      <c r="F9" s="91"/>
      <c r="G9" s="91"/>
      <c r="H9" s="94">
        <f>H10+H70+H77+H79+H83+H85+H90+H96+H103+H74+H99+H107</f>
        <v>622283.70550000004</v>
      </c>
      <c r="I9" s="94">
        <f>I10+I70+I77+I79+I83+I85+I90+I96+I103+I74+I99+I107</f>
        <v>617467.19410999992</v>
      </c>
    </row>
    <row r="10" spans="1:9" s="15" customFormat="1" ht="21.75" customHeight="1">
      <c r="A10" s="109" t="s">
        <v>60</v>
      </c>
      <c r="B10" s="82"/>
      <c r="C10" s="82" t="s">
        <v>57</v>
      </c>
      <c r="D10" s="23"/>
      <c r="E10" s="24"/>
      <c r="F10" s="24"/>
      <c r="G10" s="24"/>
      <c r="H10" s="105">
        <f>H11</f>
        <v>567960.47988999996</v>
      </c>
      <c r="I10" s="105">
        <f>I11</f>
        <v>563613.54195999994</v>
      </c>
    </row>
    <row r="11" spans="1:9" s="15" customFormat="1" ht="52.5" customHeight="1">
      <c r="A11" s="110"/>
      <c r="B11" s="82"/>
      <c r="C11" s="109" t="s">
        <v>58</v>
      </c>
      <c r="D11" s="23" t="s">
        <v>59</v>
      </c>
      <c r="E11" s="24"/>
      <c r="F11" s="24"/>
      <c r="G11" s="24"/>
      <c r="H11" s="25">
        <f>SUM(H12:H69)</f>
        <v>567960.47988999996</v>
      </c>
      <c r="I11" s="25">
        <f>SUM(I12:I69)</f>
        <v>563613.54195999994</v>
      </c>
    </row>
    <row r="12" spans="1:9" s="15" customFormat="1" ht="24.6" customHeight="1">
      <c r="A12" s="110"/>
      <c r="B12" s="109" t="s">
        <v>30</v>
      </c>
      <c r="C12" s="110"/>
      <c r="D12" s="23" t="s">
        <v>59</v>
      </c>
      <c r="E12" s="24" t="s">
        <v>61</v>
      </c>
      <c r="F12" s="24" t="s">
        <v>62</v>
      </c>
      <c r="G12" s="24" t="s">
        <v>570</v>
      </c>
      <c r="H12" s="25">
        <f>2656.13805+9235.25595</f>
        <v>11891.394</v>
      </c>
      <c r="I12" s="25">
        <f>2656.13805+9235.25595</f>
        <v>11891.394</v>
      </c>
    </row>
    <row r="13" spans="1:9" s="15" customFormat="1" ht="19.8" customHeight="1">
      <c r="A13" s="110"/>
      <c r="B13" s="110"/>
      <c r="C13" s="110"/>
      <c r="D13" s="23" t="s">
        <v>59</v>
      </c>
      <c r="E13" s="24" t="s">
        <v>64</v>
      </c>
      <c r="F13" s="24" t="s">
        <v>62</v>
      </c>
      <c r="G13" s="24" t="s">
        <v>570</v>
      </c>
      <c r="H13" s="25">
        <f>3131.68343+11477.18904</f>
        <v>14608.872469999998</v>
      </c>
      <c r="I13" s="25">
        <f>3131.68343+11477.18904</f>
        <v>14608.872469999998</v>
      </c>
    </row>
    <row r="14" spans="1:9" s="15" customFormat="1" ht="21" customHeight="1">
      <c r="A14" s="110"/>
      <c r="B14" s="111"/>
      <c r="C14" s="110"/>
      <c r="D14" s="23" t="s">
        <v>59</v>
      </c>
      <c r="E14" s="24" t="s">
        <v>64</v>
      </c>
      <c r="F14" s="24" t="s">
        <v>62</v>
      </c>
      <c r="G14" s="24" t="s">
        <v>571</v>
      </c>
      <c r="H14" s="25">
        <f>292.619+864.48</f>
        <v>1157.0990000000002</v>
      </c>
      <c r="I14" s="25">
        <f>292.619+864.48</f>
        <v>1157.0990000000002</v>
      </c>
    </row>
    <row r="15" spans="1:9" s="15" customFormat="1" ht="28.8" customHeight="1">
      <c r="A15" s="110"/>
      <c r="B15" s="109" t="s">
        <v>66</v>
      </c>
      <c r="C15" s="110"/>
      <c r="D15" s="23" t="s">
        <v>59</v>
      </c>
      <c r="E15" s="24" t="s">
        <v>61</v>
      </c>
      <c r="F15" s="24" t="s">
        <v>67</v>
      </c>
      <c r="G15" s="24" t="s">
        <v>63</v>
      </c>
      <c r="H15" s="25"/>
      <c r="I15" s="25"/>
    </row>
    <row r="16" spans="1:9" s="15" customFormat="1" ht="37.799999999999997" customHeight="1">
      <c r="A16" s="110"/>
      <c r="B16" s="111"/>
      <c r="C16" s="110"/>
      <c r="D16" s="23" t="s">
        <v>59</v>
      </c>
      <c r="E16" s="24" t="s">
        <v>64</v>
      </c>
      <c r="F16" s="24" t="s">
        <v>67</v>
      </c>
      <c r="G16" s="24" t="s">
        <v>63</v>
      </c>
      <c r="H16" s="25"/>
      <c r="I16" s="25"/>
    </row>
    <row r="17" spans="1:9" s="15" customFormat="1" ht="75" customHeight="1">
      <c r="A17" s="110"/>
      <c r="B17" s="82" t="s">
        <v>572</v>
      </c>
      <c r="C17" s="110"/>
      <c r="D17" s="23" t="s">
        <v>59</v>
      </c>
      <c r="E17" s="24" t="s">
        <v>64</v>
      </c>
      <c r="F17" s="24" t="s">
        <v>69</v>
      </c>
      <c r="G17" s="24" t="s">
        <v>570</v>
      </c>
      <c r="H17" s="25">
        <v>322.73029000000002</v>
      </c>
      <c r="I17" s="25">
        <v>322.73029000000002</v>
      </c>
    </row>
    <row r="18" spans="1:9" s="15" customFormat="1" ht="44.4" customHeight="1">
      <c r="A18" s="110"/>
      <c r="B18" s="82" t="s">
        <v>70</v>
      </c>
      <c r="C18" s="110"/>
      <c r="D18" s="23" t="s">
        <v>59</v>
      </c>
      <c r="E18" s="24" t="s">
        <v>61</v>
      </c>
      <c r="F18" s="24" t="s">
        <v>71</v>
      </c>
      <c r="G18" s="24" t="s">
        <v>63</v>
      </c>
      <c r="H18" s="25"/>
      <c r="I18" s="25"/>
    </row>
    <row r="19" spans="1:9" s="15" customFormat="1" ht="45" customHeight="1">
      <c r="A19" s="110"/>
      <c r="B19" s="82" t="s">
        <v>279</v>
      </c>
      <c r="C19" s="110"/>
      <c r="D19" s="23" t="s">
        <v>59</v>
      </c>
      <c r="E19" s="24" t="s">
        <v>64</v>
      </c>
      <c r="F19" s="24" t="s">
        <v>575</v>
      </c>
      <c r="G19" s="24" t="s">
        <v>573</v>
      </c>
      <c r="H19" s="25">
        <v>694</v>
      </c>
      <c r="I19" s="25">
        <v>694</v>
      </c>
    </row>
    <row r="20" spans="1:9" s="15" customFormat="1" ht="31.8" customHeight="1">
      <c r="A20" s="110"/>
      <c r="B20" s="109" t="s">
        <v>577</v>
      </c>
      <c r="C20" s="110"/>
      <c r="D20" s="23" t="s">
        <v>59</v>
      </c>
      <c r="E20" s="24" t="s">
        <v>64</v>
      </c>
      <c r="F20" s="24" t="s">
        <v>576</v>
      </c>
      <c r="G20" s="59" t="s">
        <v>589</v>
      </c>
      <c r="H20" s="25">
        <f>6958.923</f>
        <v>6958.9229999999998</v>
      </c>
      <c r="I20" s="25">
        <f>5502.04221</f>
        <v>5502.0422099999996</v>
      </c>
    </row>
    <row r="21" spans="1:9" s="15" customFormat="1" ht="39.6" customHeight="1">
      <c r="A21" s="110"/>
      <c r="B21" s="111"/>
      <c r="C21" s="110"/>
      <c r="D21" s="23" t="s">
        <v>59</v>
      </c>
      <c r="E21" s="24" t="s">
        <v>64</v>
      </c>
      <c r="F21" s="24" t="s">
        <v>576</v>
      </c>
      <c r="G21" s="59" t="s">
        <v>573</v>
      </c>
      <c r="H21" s="25">
        <v>615.13699999999994</v>
      </c>
      <c r="I21" s="25">
        <v>615.13699999999994</v>
      </c>
    </row>
    <row r="22" spans="1:9" s="15" customFormat="1" ht="135.6" customHeight="1">
      <c r="A22" s="110"/>
      <c r="B22" s="82" t="s">
        <v>72</v>
      </c>
      <c r="C22" s="110"/>
      <c r="D22" s="23" t="s">
        <v>59</v>
      </c>
      <c r="E22" s="24" t="s">
        <v>61</v>
      </c>
      <c r="F22" s="24" t="s">
        <v>73</v>
      </c>
      <c r="G22" s="24" t="s">
        <v>63</v>
      </c>
      <c r="H22" s="25"/>
      <c r="I22" s="25"/>
    </row>
    <row r="23" spans="1:9" s="15" customFormat="1" ht="54.6" customHeight="1">
      <c r="A23" s="110"/>
      <c r="B23" s="82" t="s">
        <v>74</v>
      </c>
      <c r="C23" s="110"/>
      <c r="D23" s="23" t="s">
        <v>59</v>
      </c>
      <c r="E23" s="24" t="s">
        <v>75</v>
      </c>
      <c r="F23" s="24" t="s">
        <v>76</v>
      </c>
      <c r="G23" s="24" t="s">
        <v>573</v>
      </c>
      <c r="H23" s="25">
        <v>516.39</v>
      </c>
      <c r="I23" s="25">
        <v>516.39</v>
      </c>
    </row>
    <row r="24" spans="1:9" s="15" customFormat="1" ht="112.8" customHeight="1">
      <c r="A24" s="110"/>
      <c r="B24" s="82" t="s">
        <v>77</v>
      </c>
      <c r="C24" s="110"/>
      <c r="D24" s="23" t="s">
        <v>59</v>
      </c>
      <c r="E24" s="24" t="s">
        <v>78</v>
      </c>
      <c r="F24" s="24" t="s">
        <v>79</v>
      </c>
      <c r="G24" s="24" t="s">
        <v>573</v>
      </c>
      <c r="H24" s="25">
        <v>471.9</v>
      </c>
      <c r="I24" s="25">
        <v>439</v>
      </c>
    </row>
    <row r="25" spans="1:9" s="15" customFormat="1" ht="72" customHeight="1">
      <c r="A25" s="110"/>
      <c r="B25" s="82" t="s">
        <v>80</v>
      </c>
      <c r="C25" s="110"/>
      <c r="D25" s="23" t="s">
        <v>59</v>
      </c>
      <c r="E25" s="24" t="s">
        <v>81</v>
      </c>
      <c r="F25" s="24" t="s">
        <v>82</v>
      </c>
      <c r="G25" s="24" t="s">
        <v>83</v>
      </c>
      <c r="H25" s="25">
        <v>4283.8999999999996</v>
      </c>
      <c r="I25" s="25">
        <v>4239.5389800000003</v>
      </c>
    </row>
    <row r="26" spans="1:9" s="15" customFormat="1" ht="41.4" customHeight="1">
      <c r="A26" s="110"/>
      <c r="B26" s="109" t="s">
        <v>84</v>
      </c>
      <c r="C26" s="110"/>
      <c r="D26" s="23" t="s">
        <v>59</v>
      </c>
      <c r="E26" s="24" t="s">
        <v>61</v>
      </c>
      <c r="F26" s="24" t="s">
        <v>85</v>
      </c>
      <c r="G26" s="24" t="s">
        <v>573</v>
      </c>
      <c r="H26" s="25">
        <f>4441.26659+383.33341</f>
        <v>4824.6000000000004</v>
      </c>
      <c r="I26" s="25">
        <f>4441.26659+383.33341</f>
        <v>4824.6000000000004</v>
      </c>
    </row>
    <row r="27" spans="1:9" s="15" customFormat="1" ht="27" customHeight="1">
      <c r="A27" s="110"/>
      <c r="B27" s="111"/>
      <c r="C27" s="110"/>
      <c r="D27" s="23" t="s">
        <v>59</v>
      </c>
      <c r="E27" s="24" t="s">
        <v>64</v>
      </c>
      <c r="F27" s="24" t="s">
        <v>85</v>
      </c>
      <c r="G27" s="24" t="s">
        <v>63</v>
      </c>
      <c r="H27" s="25"/>
      <c r="I27" s="25"/>
    </row>
    <row r="28" spans="1:9" s="15" customFormat="1" ht="32.4" customHeight="1">
      <c r="A28" s="110"/>
      <c r="B28" s="82" t="s">
        <v>86</v>
      </c>
      <c r="C28" s="110"/>
      <c r="D28" s="23" t="s">
        <v>59</v>
      </c>
      <c r="E28" s="24" t="s">
        <v>61</v>
      </c>
      <c r="F28" s="24" t="s">
        <v>87</v>
      </c>
      <c r="G28" s="24" t="s">
        <v>63</v>
      </c>
      <c r="H28" s="25"/>
      <c r="I28" s="25"/>
    </row>
    <row r="29" spans="1:9" s="15" customFormat="1" ht="60" customHeight="1">
      <c r="A29" s="110"/>
      <c r="B29" s="82" t="s">
        <v>88</v>
      </c>
      <c r="C29" s="110"/>
      <c r="D29" s="23" t="s">
        <v>59</v>
      </c>
      <c r="E29" s="24" t="s">
        <v>64</v>
      </c>
      <c r="F29" s="24" t="s">
        <v>89</v>
      </c>
      <c r="G29" s="24" t="s">
        <v>573</v>
      </c>
      <c r="H29" s="25">
        <v>11175</v>
      </c>
      <c r="I29" s="25">
        <v>11174.89594</v>
      </c>
    </row>
    <row r="30" spans="1:9" s="15" customFormat="1" ht="49.2" customHeight="1">
      <c r="A30" s="110"/>
      <c r="B30" s="109" t="s">
        <v>90</v>
      </c>
      <c r="C30" s="110"/>
      <c r="D30" s="23" t="s">
        <v>59</v>
      </c>
      <c r="E30" s="24" t="s">
        <v>64</v>
      </c>
      <c r="F30" s="24" t="s">
        <v>91</v>
      </c>
      <c r="G30" s="24" t="s">
        <v>574</v>
      </c>
      <c r="H30" s="25">
        <f>179151.573+1711.065</f>
        <v>180862.63800000001</v>
      </c>
      <c r="I30" s="25">
        <f>179151.573+1711.065</f>
        <v>180862.63800000001</v>
      </c>
    </row>
    <row r="31" spans="1:9" s="15" customFormat="1" ht="63.6" customHeight="1">
      <c r="A31" s="110"/>
      <c r="B31" s="111"/>
      <c r="C31" s="110"/>
      <c r="D31" s="23" t="s">
        <v>59</v>
      </c>
      <c r="E31" s="24" t="s">
        <v>64</v>
      </c>
      <c r="F31" s="24" t="s">
        <v>91</v>
      </c>
      <c r="G31" s="24" t="s">
        <v>578</v>
      </c>
      <c r="H31" s="25">
        <f>16351.462+155</f>
        <v>16506.462</v>
      </c>
      <c r="I31" s="25">
        <f>16351.462+155</f>
        <v>16506.462</v>
      </c>
    </row>
    <row r="32" spans="1:9" s="15" customFormat="1" ht="37.799999999999997" customHeight="1">
      <c r="A32" s="110"/>
      <c r="B32" s="109" t="s">
        <v>92</v>
      </c>
      <c r="C32" s="110"/>
      <c r="D32" s="23" t="s">
        <v>59</v>
      </c>
      <c r="E32" s="24" t="s">
        <v>78</v>
      </c>
      <c r="F32" s="24" t="s">
        <v>93</v>
      </c>
      <c r="G32" s="24" t="s">
        <v>573</v>
      </c>
      <c r="H32" s="25">
        <v>8051.8620000000001</v>
      </c>
      <c r="I32" s="25">
        <v>6018.8462200000004</v>
      </c>
    </row>
    <row r="33" spans="1:9" s="15" customFormat="1" ht="36" customHeight="1">
      <c r="A33" s="110"/>
      <c r="B33" s="111"/>
      <c r="C33" s="110"/>
      <c r="D33" s="23" t="s">
        <v>59</v>
      </c>
      <c r="E33" s="24" t="s">
        <v>78</v>
      </c>
      <c r="F33" s="24" t="s">
        <v>93</v>
      </c>
      <c r="G33" s="24" t="s">
        <v>579</v>
      </c>
      <c r="H33" s="25">
        <v>959.13800000000003</v>
      </c>
      <c r="I33" s="25">
        <v>741.15377999999998</v>
      </c>
    </row>
    <row r="34" spans="1:9" s="15" customFormat="1" ht="44.4" customHeight="1">
      <c r="A34" s="110"/>
      <c r="B34" s="82" t="s">
        <v>94</v>
      </c>
      <c r="C34" s="110"/>
      <c r="D34" s="23" t="s">
        <v>59</v>
      </c>
      <c r="E34" s="24" t="s">
        <v>64</v>
      </c>
      <c r="F34" s="24" t="s">
        <v>95</v>
      </c>
      <c r="G34" s="24" t="s">
        <v>63</v>
      </c>
      <c r="H34" s="25"/>
      <c r="I34" s="25"/>
    </row>
    <row r="35" spans="1:9" s="15" customFormat="1" ht="25.8" customHeight="1">
      <c r="A35" s="110"/>
      <c r="B35" s="109" t="s">
        <v>96</v>
      </c>
      <c r="C35" s="110"/>
      <c r="D35" s="23" t="s">
        <v>59</v>
      </c>
      <c r="E35" s="24" t="s">
        <v>75</v>
      </c>
      <c r="F35" s="24" t="s">
        <v>97</v>
      </c>
      <c r="G35" s="24" t="s">
        <v>573</v>
      </c>
      <c r="H35" s="25">
        <v>1325.4929999999999</v>
      </c>
      <c r="I35" s="25">
        <v>1325.4929999999999</v>
      </c>
    </row>
    <row r="36" spans="1:9" s="15" customFormat="1" ht="19.8" customHeight="1">
      <c r="A36" s="110"/>
      <c r="B36" s="111"/>
      <c r="C36" s="110"/>
      <c r="D36" s="23" t="s">
        <v>59</v>
      </c>
      <c r="E36" s="24" t="s">
        <v>75</v>
      </c>
      <c r="F36" s="24" t="s">
        <v>97</v>
      </c>
      <c r="G36" s="24" t="s">
        <v>579</v>
      </c>
      <c r="H36" s="25">
        <v>114.807</v>
      </c>
      <c r="I36" s="25">
        <v>114.807</v>
      </c>
    </row>
    <row r="37" spans="1:9" s="15" customFormat="1" ht="82.8" customHeight="1">
      <c r="A37" s="110"/>
      <c r="B37" s="82" t="s">
        <v>98</v>
      </c>
      <c r="C37" s="110"/>
      <c r="D37" s="23" t="s">
        <v>59</v>
      </c>
      <c r="E37" s="24" t="s">
        <v>75</v>
      </c>
      <c r="F37" s="24" t="s">
        <v>99</v>
      </c>
      <c r="G37" s="24" t="s">
        <v>573</v>
      </c>
      <c r="H37" s="25">
        <v>303.60000000000002</v>
      </c>
      <c r="I37" s="25">
        <v>242.53584000000001</v>
      </c>
    </row>
    <row r="38" spans="1:9" s="15" customFormat="1" ht="40.799999999999997" customHeight="1">
      <c r="A38" s="110"/>
      <c r="B38" s="82" t="s">
        <v>100</v>
      </c>
      <c r="C38" s="110"/>
      <c r="D38" s="23" t="s">
        <v>59</v>
      </c>
      <c r="E38" s="24" t="s">
        <v>75</v>
      </c>
      <c r="F38" s="24" t="s">
        <v>101</v>
      </c>
      <c r="G38" s="24" t="s">
        <v>574</v>
      </c>
      <c r="H38" s="25">
        <f>1759.115+118.685</f>
        <v>1877.8</v>
      </c>
      <c r="I38" s="25">
        <f>1595.45875+118.685</f>
        <v>1714.14375</v>
      </c>
    </row>
    <row r="39" spans="1:9" s="15" customFormat="1" ht="96" customHeight="1">
      <c r="A39" s="110"/>
      <c r="B39" s="82" t="s">
        <v>102</v>
      </c>
      <c r="C39" s="110"/>
      <c r="D39" s="23" t="s">
        <v>59</v>
      </c>
      <c r="E39" s="24" t="s">
        <v>61</v>
      </c>
      <c r="F39" s="24" t="s">
        <v>103</v>
      </c>
      <c r="G39" s="24" t="s">
        <v>574</v>
      </c>
      <c r="H39" s="25">
        <f>76550.348+747.752</f>
        <v>77298.099999999991</v>
      </c>
      <c r="I39" s="25">
        <f>76550.348+747.752</f>
        <v>77298.099999999991</v>
      </c>
    </row>
    <row r="40" spans="1:9" s="15" customFormat="1" ht="57.6" customHeight="1">
      <c r="A40" s="110"/>
      <c r="B40" s="82" t="s">
        <v>581</v>
      </c>
      <c r="C40" s="110"/>
      <c r="D40" s="23" t="s">
        <v>59</v>
      </c>
      <c r="E40" s="24" t="s">
        <v>61</v>
      </c>
      <c r="F40" s="24" t="s">
        <v>580</v>
      </c>
      <c r="G40" s="24" t="s">
        <v>573</v>
      </c>
      <c r="H40" s="25">
        <v>993.66800000000001</v>
      </c>
      <c r="I40" s="25">
        <v>993.66800000000001</v>
      </c>
    </row>
    <row r="41" spans="1:9" s="15" customFormat="1" ht="55.8" customHeight="1">
      <c r="A41" s="110"/>
      <c r="B41" s="82" t="s">
        <v>104</v>
      </c>
      <c r="C41" s="110"/>
      <c r="D41" s="23" t="s">
        <v>59</v>
      </c>
      <c r="E41" s="24" t="s">
        <v>64</v>
      </c>
      <c r="F41" s="24" t="s">
        <v>105</v>
      </c>
      <c r="G41" s="24" t="s">
        <v>63</v>
      </c>
      <c r="H41" s="25"/>
      <c r="I41" s="25"/>
    </row>
    <row r="42" spans="1:9" s="15" customFormat="1" ht="24" customHeight="1">
      <c r="A42" s="110"/>
      <c r="B42" s="127" t="s">
        <v>40</v>
      </c>
      <c r="C42" s="110"/>
      <c r="D42" s="23" t="s">
        <v>59</v>
      </c>
      <c r="E42" s="24" t="s">
        <v>61</v>
      </c>
      <c r="F42" s="24" t="s">
        <v>106</v>
      </c>
      <c r="G42" s="24" t="s">
        <v>570</v>
      </c>
      <c r="H42" s="25">
        <v>66528.180779999995</v>
      </c>
      <c r="I42" s="25">
        <v>66483.927729999996</v>
      </c>
    </row>
    <row r="43" spans="1:9" s="15" customFormat="1" ht="21.75" customHeight="1">
      <c r="A43" s="110"/>
      <c r="B43" s="128"/>
      <c r="C43" s="110"/>
      <c r="D43" s="23" t="s">
        <v>59</v>
      </c>
      <c r="E43" s="24" t="s">
        <v>64</v>
      </c>
      <c r="F43" s="24" t="s">
        <v>106</v>
      </c>
      <c r="G43" s="24" t="s">
        <v>570</v>
      </c>
      <c r="H43" s="25">
        <v>132186.61734999999</v>
      </c>
      <c r="I43" s="25">
        <v>131954.57451000001</v>
      </c>
    </row>
    <row r="44" spans="1:9" s="15" customFormat="1" ht="21.75" customHeight="1">
      <c r="A44" s="110"/>
      <c r="B44" s="129"/>
      <c r="C44" s="110"/>
      <c r="D44" s="23" t="s">
        <v>59</v>
      </c>
      <c r="E44" s="24" t="s">
        <v>64</v>
      </c>
      <c r="F44" s="24" t="s">
        <v>106</v>
      </c>
      <c r="G44" s="24" t="s">
        <v>571</v>
      </c>
      <c r="H44" s="25">
        <v>9777.8680000000004</v>
      </c>
      <c r="I44" s="25">
        <v>9737.41129</v>
      </c>
    </row>
    <row r="45" spans="1:9" s="15" customFormat="1" ht="21.75" customHeight="1">
      <c r="A45" s="110"/>
      <c r="B45" s="127" t="s">
        <v>39</v>
      </c>
      <c r="C45" s="110"/>
      <c r="D45" s="23" t="s">
        <v>59</v>
      </c>
      <c r="E45" s="24" t="s">
        <v>61</v>
      </c>
      <c r="F45" s="24" t="s">
        <v>107</v>
      </c>
      <c r="G45" s="24" t="s">
        <v>573</v>
      </c>
      <c r="H45" s="25">
        <v>3120.7809099999999</v>
      </c>
      <c r="I45" s="25">
        <v>3120.7809099999999</v>
      </c>
    </row>
    <row r="46" spans="1:9" s="15" customFormat="1" ht="21.75" customHeight="1">
      <c r="A46" s="110"/>
      <c r="B46" s="128"/>
      <c r="C46" s="110"/>
      <c r="D46" s="23" t="s">
        <v>59</v>
      </c>
      <c r="E46" s="24" t="s">
        <v>64</v>
      </c>
      <c r="F46" s="24" t="s">
        <v>107</v>
      </c>
      <c r="G46" s="24" t="s">
        <v>573</v>
      </c>
      <c r="H46" s="25">
        <v>5307.09944</v>
      </c>
      <c r="I46" s="25">
        <v>5307.09944</v>
      </c>
    </row>
    <row r="47" spans="1:9" s="15" customFormat="1" ht="21.75" customHeight="1">
      <c r="A47" s="110"/>
      <c r="B47" s="129"/>
      <c r="C47" s="110"/>
      <c r="D47" s="23" t="s">
        <v>59</v>
      </c>
      <c r="E47" s="24" t="s">
        <v>64</v>
      </c>
      <c r="F47" s="24" t="s">
        <v>107</v>
      </c>
      <c r="G47" s="24" t="s">
        <v>579</v>
      </c>
      <c r="H47" s="25">
        <v>362.11975000000001</v>
      </c>
      <c r="I47" s="25">
        <v>362.11975000000001</v>
      </c>
    </row>
    <row r="48" spans="1:9" s="15" customFormat="1" ht="33" customHeight="1">
      <c r="A48" s="110"/>
      <c r="B48" s="109" t="s">
        <v>108</v>
      </c>
      <c r="C48" s="110"/>
      <c r="D48" s="23" t="s">
        <v>59</v>
      </c>
      <c r="E48" s="24" t="s">
        <v>109</v>
      </c>
      <c r="F48" s="24" t="s">
        <v>110</v>
      </c>
      <c r="G48" s="24" t="s">
        <v>573</v>
      </c>
      <c r="H48" s="25">
        <v>765.05</v>
      </c>
      <c r="I48" s="25">
        <v>765.05</v>
      </c>
    </row>
    <row r="49" spans="1:9" s="15" customFormat="1" ht="33" customHeight="1">
      <c r="A49" s="110"/>
      <c r="B49" s="111"/>
      <c r="C49" s="110"/>
      <c r="D49" s="23" t="s">
        <v>59</v>
      </c>
      <c r="E49" s="24" t="s">
        <v>109</v>
      </c>
      <c r="F49" s="24" t="s">
        <v>110</v>
      </c>
      <c r="G49" s="24" t="s">
        <v>579</v>
      </c>
      <c r="H49" s="25">
        <v>9.9290000000000003</v>
      </c>
      <c r="I49" s="25">
        <v>9.9290000000000003</v>
      </c>
    </row>
    <row r="50" spans="1:9" s="15" customFormat="1" ht="41.4" customHeight="1">
      <c r="A50" s="110"/>
      <c r="B50" s="85" t="s">
        <v>111</v>
      </c>
      <c r="C50" s="110"/>
      <c r="D50" s="23" t="s">
        <v>59</v>
      </c>
      <c r="E50" s="24" t="s">
        <v>75</v>
      </c>
      <c r="F50" s="24" t="s">
        <v>112</v>
      </c>
      <c r="G50" s="24" t="s">
        <v>573</v>
      </c>
      <c r="H50" s="25">
        <v>489.851</v>
      </c>
      <c r="I50" s="25">
        <v>489.851</v>
      </c>
    </row>
    <row r="51" spans="1:9" s="15" customFormat="1" ht="28.5" customHeight="1">
      <c r="A51" s="110"/>
      <c r="B51" s="109" t="s">
        <v>113</v>
      </c>
      <c r="C51" s="110"/>
      <c r="D51" s="23" t="s">
        <v>59</v>
      </c>
      <c r="E51" s="24" t="s">
        <v>61</v>
      </c>
      <c r="F51" s="24" t="s">
        <v>114</v>
      </c>
      <c r="G51" s="24" t="s">
        <v>573</v>
      </c>
      <c r="H51" s="25">
        <v>219.3</v>
      </c>
      <c r="I51" s="25">
        <v>219.3</v>
      </c>
    </row>
    <row r="52" spans="1:9" s="15" customFormat="1" ht="28.5" customHeight="1">
      <c r="A52" s="110"/>
      <c r="B52" s="130"/>
      <c r="C52" s="110"/>
      <c r="D52" s="23" t="s">
        <v>59</v>
      </c>
      <c r="E52" s="24" t="s">
        <v>64</v>
      </c>
      <c r="F52" s="24" t="s">
        <v>114</v>
      </c>
      <c r="G52" s="24" t="s">
        <v>573</v>
      </c>
      <c r="H52" s="25">
        <v>48.84</v>
      </c>
      <c r="I52" s="25">
        <v>48.84</v>
      </c>
    </row>
    <row r="53" spans="1:9" s="15" customFormat="1" ht="35.25" customHeight="1">
      <c r="A53" s="110"/>
      <c r="B53" s="109" t="s">
        <v>585</v>
      </c>
      <c r="C53" s="110"/>
      <c r="D53" s="23" t="s">
        <v>59</v>
      </c>
      <c r="E53" s="24" t="s">
        <v>61</v>
      </c>
      <c r="F53" s="24" t="s">
        <v>583</v>
      </c>
      <c r="G53" s="24" t="s">
        <v>573</v>
      </c>
      <c r="H53" s="25">
        <v>5.6421799999999998</v>
      </c>
      <c r="I53" s="25">
        <v>1.2210399999999999</v>
      </c>
    </row>
    <row r="54" spans="1:9" s="15" customFormat="1" ht="35.25" customHeight="1">
      <c r="A54" s="110"/>
      <c r="B54" s="131"/>
      <c r="C54" s="110"/>
      <c r="D54" s="23" t="s">
        <v>59</v>
      </c>
      <c r="E54" s="24" t="s">
        <v>64</v>
      </c>
      <c r="F54" s="24" t="s">
        <v>583</v>
      </c>
      <c r="G54" s="24" t="s">
        <v>573</v>
      </c>
      <c r="H54" s="25">
        <v>19.000080000000001</v>
      </c>
      <c r="I54" s="25">
        <v>3.2021700000000002</v>
      </c>
    </row>
    <row r="55" spans="1:9" s="15" customFormat="1" ht="48.75" customHeight="1">
      <c r="A55" s="110"/>
      <c r="B55" s="130"/>
      <c r="C55" s="110"/>
      <c r="D55" s="23" t="s">
        <v>59</v>
      </c>
      <c r="E55" s="24" t="s">
        <v>109</v>
      </c>
      <c r="F55" s="24" t="s">
        <v>583</v>
      </c>
      <c r="G55" s="24" t="s">
        <v>584</v>
      </c>
      <c r="H55" s="25">
        <f>0.01059+0.00268</f>
        <v>1.3270000000000001E-2</v>
      </c>
      <c r="I55" s="25">
        <f>0.01059+0.00268</f>
        <v>1.3270000000000001E-2</v>
      </c>
    </row>
    <row r="56" spans="1:9" s="15" customFormat="1" ht="55.2" customHeight="1">
      <c r="A56" s="110"/>
      <c r="B56" s="85" t="s">
        <v>115</v>
      </c>
      <c r="C56" s="110"/>
      <c r="D56" s="23" t="s">
        <v>59</v>
      </c>
      <c r="E56" s="24" t="s">
        <v>75</v>
      </c>
      <c r="F56" s="24" t="s">
        <v>116</v>
      </c>
      <c r="G56" s="59" t="s">
        <v>582</v>
      </c>
      <c r="H56" s="25">
        <f t="shared" ref="H56:I56" si="0">1.332+0.115</f>
        <v>1.4470000000000001</v>
      </c>
      <c r="I56" s="25">
        <f t="shared" si="0"/>
        <v>1.4470000000000001</v>
      </c>
    </row>
    <row r="57" spans="1:9" s="15" customFormat="1" ht="52.2" customHeight="1">
      <c r="A57" s="110"/>
      <c r="B57" s="82" t="s">
        <v>117</v>
      </c>
      <c r="C57" s="110"/>
      <c r="D57" s="23" t="s">
        <v>59</v>
      </c>
      <c r="E57" s="24" t="s">
        <v>75</v>
      </c>
      <c r="F57" s="24" t="s">
        <v>118</v>
      </c>
      <c r="G57" s="24" t="s">
        <v>570</v>
      </c>
      <c r="H57" s="25">
        <v>734.63302999999996</v>
      </c>
      <c r="I57" s="25">
        <v>734.63302999999996</v>
      </c>
    </row>
    <row r="58" spans="1:9" s="15" customFormat="1" ht="84.6" customHeight="1">
      <c r="A58" s="110"/>
      <c r="B58" s="82" t="s">
        <v>119</v>
      </c>
      <c r="C58" s="110"/>
      <c r="D58" s="23" t="s">
        <v>59</v>
      </c>
      <c r="E58" s="24" t="s">
        <v>61</v>
      </c>
      <c r="F58" s="24" t="s">
        <v>120</v>
      </c>
      <c r="G58" s="24" t="s">
        <v>573</v>
      </c>
      <c r="H58" s="25">
        <v>4.9729999999999999</v>
      </c>
      <c r="I58" s="25">
        <v>4.9729999999999999</v>
      </c>
    </row>
    <row r="59" spans="1:9" s="15" customFormat="1" ht="40.799999999999997" customHeight="1">
      <c r="A59" s="110"/>
      <c r="B59" s="82" t="s">
        <v>121</v>
      </c>
      <c r="C59" s="110"/>
      <c r="D59" s="23" t="s">
        <v>59</v>
      </c>
      <c r="E59" s="24" t="s">
        <v>61</v>
      </c>
      <c r="F59" s="24" t="s">
        <v>122</v>
      </c>
      <c r="G59" s="24" t="s">
        <v>63</v>
      </c>
      <c r="H59" s="25"/>
      <c r="I59" s="25"/>
    </row>
    <row r="60" spans="1:9" s="15" customFormat="1" ht="95.4" customHeight="1">
      <c r="A60" s="110"/>
      <c r="B60" s="82" t="s">
        <v>123</v>
      </c>
      <c r="C60" s="110"/>
      <c r="D60" s="23" t="s">
        <v>59</v>
      </c>
      <c r="E60" s="24" t="s">
        <v>64</v>
      </c>
      <c r="F60" s="24" t="s">
        <v>124</v>
      </c>
      <c r="G60" s="24" t="s">
        <v>573</v>
      </c>
      <c r="H60" s="25">
        <v>0.30399999999999999</v>
      </c>
      <c r="I60" s="25">
        <v>0.30399999999999999</v>
      </c>
    </row>
    <row r="61" spans="1:9" s="15" customFormat="1" ht="67.2" customHeight="1">
      <c r="A61" s="110"/>
      <c r="B61" s="82" t="s">
        <v>125</v>
      </c>
      <c r="C61" s="110"/>
      <c r="D61" s="23" t="s">
        <v>59</v>
      </c>
      <c r="E61" s="24" t="s">
        <v>64</v>
      </c>
      <c r="F61" s="24" t="s">
        <v>126</v>
      </c>
      <c r="G61" s="24" t="s">
        <v>573</v>
      </c>
      <c r="H61" s="25">
        <v>51.639000000000003</v>
      </c>
      <c r="I61" s="25">
        <v>51.639000000000003</v>
      </c>
    </row>
    <row r="62" spans="1:9" s="15" customFormat="1" ht="30.6" customHeight="1">
      <c r="A62" s="110"/>
      <c r="B62" s="82" t="s">
        <v>127</v>
      </c>
      <c r="C62" s="110"/>
      <c r="D62" s="23" t="s">
        <v>59</v>
      </c>
      <c r="E62" s="24" t="s">
        <v>61</v>
      </c>
      <c r="F62" s="24" t="s">
        <v>128</v>
      </c>
      <c r="G62" s="24" t="s">
        <v>63</v>
      </c>
      <c r="H62" s="25"/>
      <c r="I62" s="25"/>
    </row>
    <row r="63" spans="1:9" s="15" customFormat="1" ht="31.5" customHeight="1">
      <c r="A63" s="110"/>
      <c r="B63" s="109" t="s">
        <v>38</v>
      </c>
      <c r="C63" s="110"/>
      <c r="D63" s="23" t="s">
        <v>59</v>
      </c>
      <c r="E63" s="24" t="s">
        <v>61</v>
      </c>
      <c r="F63" s="24" t="s">
        <v>129</v>
      </c>
      <c r="G63" s="24" t="s">
        <v>570</v>
      </c>
      <c r="H63" s="25">
        <v>179.851</v>
      </c>
      <c r="I63" s="25">
        <v>179.851</v>
      </c>
    </row>
    <row r="64" spans="1:9" s="15" customFormat="1" ht="31.5" customHeight="1">
      <c r="A64" s="110"/>
      <c r="B64" s="110"/>
      <c r="C64" s="110"/>
      <c r="D64" s="23" t="s">
        <v>59</v>
      </c>
      <c r="E64" s="24" t="s">
        <v>64</v>
      </c>
      <c r="F64" s="24" t="s">
        <v>129</v>
      </c>
      <c r="G64" s="24" t="s">
        <v>570</v>
      </c>
      <c r="H64" s="25">
        <v>839.22</v>
      </c>
      <c r="I64" s="25">
        <v>839.22</v>
      </c>
    </row>
    <row r="65" spans="1:9" s="15" customFormat="1" ht="31.5" customHeight="1">
      <c r="A65" s="110"/>
      <c r="B65" s="110"/>
      <c r="C65" s="110"/>
      <c r="D65" s="23" t="s">
        <v>59</v>
      </c>
      <c r="E65" s="24" t="s">
        <v>64</v>
      </c>
      <c r="F65" s="24" t="s">
        <v>129</v>
      </c>
      <c r="G65" s="24" t="s">
        <v>571</v>
      </c>
      <c r="H65" s="25">
        <v>3.149</v>
      </c>
      <c r="I65" s="25">
        <v>3.149</v>
      </c>
    </row>
    <row r="66" spans="1:9" s="15" customFormat="1" ht="31.5" customHeight="1">
      <c r="A66" s="110"/>
      <c r="B66" s="111"/>
      <c r="C66" s="110"/>
      <c r="D66" s="23" t="s">
        <v>59</v>
      </c>
      <c r="E66" s="24" t="s">
        <v>109</v>
      </c>
      <c r="F66" s="24" t="s">
        <v>129</v>
      </c>
      <c r="G66" s="24" t="s">
        <v>63</v>
      </c>
      <c r="H66" s="25"/>
      <c r="I66" s="25"/>
    </row>
    <row r="67" spans="1:9" s="15" customFormat="1" ht="69" customHeight="1">
      <c r="A67" s="110"/>
      <c r="B67" s="89" t="s">
        <v>590</v>
      </c>
      <c r="C67" s="110"/>
      <c r="D67" s="23" t="s">
        <v>59</v>
      </c>
      <c r="E67" s="24" t="s">
        <v>64</v>
      </c>
      <c r="F67" s="24" t="s">
        <v>586</v>
      </c>
      <c r="G67" s="24" t="s">
        <v>573</v>
      </c>
      <c r="H67" s="25">
        <v>1408.7773400000001</v>
      </c>
      <c r="I67" s="25">
        <v>1408.7773400000001</v>
      </c>
    </row>
    <row r="68" spans="1:9" s="15" customFormat="1" ht="70.2" customHeight="1">
      <c r="A68" s="110"/>
      <c r="B68" s="89" t="s">
        <v>591</v>
      </c>
      <c r="C68" s="110"/>
      <c r="D68" s="23" t="s">
        <v>59</v>
      </c>
      <c r="E68" s="24" t="s">
        <v>64</v>
      </c>
      <c r="F68" s="24" t="s">
        <v>587</v>
      </c>
      <c r="G68" s="24" t="s">
        <v>589</v>
      </c>
      <c r="H68" s="25">
        <v>75.741</v>
      </c>
      <c r="I68" s="25">
        <v>75.741</v>
      </c>
    </row>
    <row r="69" spans="1:9" s="15" customFormat="1" ht="54.6" customHeight="1">
      <c r="A69" s="111"/>
      <c r="B69" s="89" t="s">
        <v>592</v>
      </c>
      <c r="C69" s="111"/>
      <c r="D69" s="23" t="s">
        <v>59</v>
      </c>
      <c r="E69" s="24" t="s">
        <v>64</v>
      </c>
      <c r="F69" s="24" t="s">
        <v>588</v>
      </c>
      <c r="G69" s="24" t="s">
        <v>573</v>
      </c>
      <c r="H69" s="25">
        <v>6.94</v>
      </c>
      <c r="I69" s="25">
        <v>6.94</v>
      </c>
    </row>
    <row r="70" spans="1:9" s="15" customFormat="1" ht="12.75" customHeight="1">
      <c r="A70" s="109" t="s">
        <v>130</v>
      </c>
      <c r="B70" s="109" t="s">
        <v>30</v>
      </c>
      <c r="C70" s="82" t="s">
        <v>57</v>
      </c>
      <c r="D70" s="23"/>
      <c r="E70" s="23"/>
      <c r="F70" s="23"/>
      <c r="G70" s="23"/>
      <c r="H70" s="105">
        <f>H71</f>
        <v>1482.2004099999999</v>
      </c>
      <c r="I70" s="105">
        <f>I71</f>
        <v>1482.2004099999999</v>
      </c>
    </row>
    <row r="71" spans="1:9" s="15" customFormat="1" ht="13.2">
      <c r="A71" s="110"/>
      <c r="B71" s="110"/>
      <c r="C71" s="82" t="s">
        <v>131</v>
      </c>
      <c r="D71" s="23"/>
      <c r="E71" s="23"/>
      <c r="F71" s="23"/>
      <c r="G71" s="23"/>
      <c r="H71" s="25">
        <f>H72+H73</f>
        <v>1482.2004099999999</v>
      </c>
      <c r="I71" s="25">
        <f>I72+I73</f>
        <v>1482.2004099999999</v>
      </c>
    </row>
    <row r="72" spans="1:9" s="15" customFormat="1" ht="28.2" customHeight="1">
      <c r="A72" s="110"/>
      <c r="B72" s="110"/>
      <c r="C72" s="109" t="s">
        <v>132</v>
      </c>
      <c r="D72" s="23" t="s">
        <v>59</v>
      </c>
      <c r="E72" s="24" t="s">
        <v>109</v>
      </c>
      <c r="F72" s="24" t="s">
        <v>133</v>
      </c>
      <c r="G72" s="24" t="s">
        <v>593</v>
      </c>
      <c r="H72" s="25">
        <f>862.13+113.873</f>
        <v>976.00300000000004</v>
      </c>
      <c r="I72" s="25">
        <f>862.13+113.873</f>
        <v>976.00300000000004</v>
      </c>
    </row>
    <row r="73" spans="1:9" s="15" customFormat="1" ht="16.2" customHeight="1">
      <c r="A73" s="111"/>
      <c r="B73" s="111"/>
      <c r="C73" s="111"/>
      <c r="D73" s="23" t="s">
        <v>59</v>
      </c>
      <c r="E73" s="24" t="s">
        <v>109</v>
      </c>
      <c r="F73" s="24" t="s">
        <v>133</v>
      </c>
      <c r="G73" s="24" t="s">
        <v>570</v>
      </c>
      <c r="H73" s="25">
        <f>117.297+388.90041</f>
        <v>506.19740999999999</v>
      </c>
      <c r="I73" s="25">
        <f>117.297+388.90041</f>
        <v>506.19740999999999</v>
      </c>
    </row>
    <row r="74" spans="1:9" s="15" customFormat="1" ht="12.75" customHeight="1">
      <c r="A74" s="109" t="s">
        <v>135</v>
      </c>
      <c r="B74" s="109" t="s">
        <v>596</v>
      </c>
      <c r="C74" s="82" t="s">
        <v>57</v>
      </c>
      <c r="D74" s="23"/>
      <c r="E74" s="23"/>
      <c r="F74" s="23"/>
      <c r="G74" s="23"/>
      <c r="H74" s="105">
        <f>H75</f>
        <v>623.9</v>
      </c>
      <c r="I74" s="105">
        <f>I75</f>
        <v>623.9</v>
      </c>
    </row>
    <row r="75" spans="1:9" s="15" customFormat="1" ht="13.2">
      <c r="A75" s="110"/>
      <c r="B75" s="110"/>
      <c r="C75" s="82" t="s">
        <v>131</v>
      </c>
      <c r="D75" s="23"/>
      <c r="E75" s="23"/>
      <c r="F75" s="23"/>
      <c r="G75" s="23"/>
      <c r="H75" s="25">
        <f t="shared" ref="H75:I75" si="1">H76</f>
        <v>623.9</v>
      </c>
      <c r="I75" s="25">
        <f t="shared" si="1"/>
        <v>623.9</v>
      </c>
    </row>
    <row r="76" spans="1:9" s="15" customFormat="1" ht="83.4" customHeight="1">
      <c r="A76" s="110"/>
      <c r="B76" s="110"/>
      <c r="C76" s="83" t="s">
        <v>132</v>
      </c>
      <c r="D76" s="23" t="s">
        <v>59</v>
      </c>
      <c r="E76" s="24" t="s">
        <v>64</v>
      </c>
      <c r="F76" s="24" t="s">
        <v>595</v>
      </c>
      <c r="G76" s="24" t="s">
        <v>584</v>
      </c>
      <c r="H76" s="25">
        <v>623.9</v>
      </c>
      <c r="I76" s="25">
        <v>623.9</v>
      </c>
    </row>
    <row r="77" spans="1:9" s="15" customFormat="1" ht="31.8" customHeight="1">
      <c r="A77" s="109" t="s">
        <v>138</v>
      </c>
      <c r="B77" s="109" t="s">
        <v>44</v>
      </c>
      <c r="C77" s="82" t="s">
        <v>57</v>
      </c>
      <c r="D77" s="23"/>
      <c r="E77" s="23"/>
      <c r="F77" s="23"/>
      <c r="G77" s="23"/>
      <c r="H77" s="25">
        <f>H78</f>
        <v>0</v>
      </c>
      <c r="I77" s="25">
        <f>I78</f>
        <v>0</v>
      </c>
    </row>
    <row r="78" spans="1:9" s="15" customFormat="1" ht="54" customHeight="1">
      <c r="A78" s="110"/>
      <c r="B78" s="111"/>
      <c r="C78" s="82" t="s">
        <v>58</v>
      </c>
      <c r="D78" s="23" t="s">
        <v>59</v>
      </c>
      <c r="E78" s="24" t="s">
        <v>81</v>
      </c>
      <c r="F78" s="24" t="s">
        <v>136</v>
      </c>
      <c r="G78" s="24" t="s">
        <v>137</v>
      </c>
      <c r="H78" s="25"/>
      <c r="I78" s="25"/>
    </row>
    <row r="79" spans="1:9" s="15" customFormat="1" ht="12.75" customHeight="1">
      <c r="A79" s="109" t="s">
        <v>142</v>
      </c>
      <c r="B79" s="109" t="s">
        <v>43</v>
      </c>
      <c r="C79" s="82" t="s">
        <v>57</v>
      </c>
      <c r="D79" s="23"/>
      <c r="E79" s="23"/>
      <c r="F79" s="23"/>
      <c r="G79" s="23"/>
      <c r="H79" s="105">
        <f>H80</f>
        <v>702.45052999999996</v>
      </c>
      <c r="I79" s="105">
        <f>I80</f>
        <v>702.45052999999996</v>
      </c>
    </row>
    <row r="80" spans="1:9" s="15" customFormat="1" ht="13.2">
      <c r="A80" s="110"/>
      <c r="B80" s="110"/>
      <c r="C80" s="82" t="s">
        <v>131</v>
      </c>
      <c r="D80" s="23"/>
      <c r="E80" s="23"/>
      <c r="F80" s="23"/>
      <c r="G80" s="23"/>
      <c r="H80" s="25">
        <f>H81+H82</f>
        <v>702.45052999999996</v>
      </c>
      <c r="I80" s="25">
        <f>I81+I82</f>
        <v>702.45052999999996</v>
      </c>
    </row>
    <row r="81" spans="1:9" s="15" customFormat="1" ht="25.5" customHeight="1">
      <c r="A81" s="110"/>
      <c r="B81" s="110"/>
      <c r="C81" s="109" t="s">
        <v>132</v>
      </c>
      <c r="D81" s="23" t="s">
        <v>59</v>
      </c>
      <c r="E81" s="24" t="s">
        <v>109</v>
      </c>
      <c r="F81" s="24" t="s">
        <v>139</v>
      </c>
      <c r="G81" s="24" t="s">
        <v>594</v>
      </c>
      <c r="H81" s="25">
        <f>560.2674+5.1761</f>
        <v>565.44349999999997</v>
      </c>
      <c r="I81" s="25">
        <f>560.2674+5.1761</f>
        <v>565.44349999999997</v>
      </c>
    </row>
    <row r="82" spans="1:9" s="15" customFormat="1" ht="25.5" customHeight="1">
      <c r="A82" s="111"/>
      <c r="B82" s="111"/>
      <c r="C82" s="111"/>
      <c r="D82" s="23" t="s">
        <v>59</v>
      </c>
      <c r="E82" s="24" t="s">
        <v>109</v>
      </c>
      <c r="F82" s="24" t="s">
        <v>139</v>
      </c>
      <c r="G82" s="24" t="s">
        <v>584</v>
      </c>
      <c r="H82" s="25">
        <v>137.00702999999999</v>
      </c>
      <c r="I82" s="25">
        <v>137.00702999999999</v>
      </c>
    </row>
    <row r="83" spans="1:9" s="15" customFormat="1" ht="28.2" customHeight="1">
      <c r="A83" s="109" t="s">
        <v>144</v>
      </c>
      <c r="B83" s="109" t="s">
        <v>42</v>
      </c>
      <c r="C83" s="82" t="s">
        <v>57</v>
      </c>
      <c r="D83" s="23"/>
      <c r="E83" s="23"/>
      <c r="F83" s="23"/>
      <c r="G83" s="23"/>
      <c r="H83" s="25">
        <f>H84</f>
        <v>0</v>
      </c>
      <c r="I83" s="25">
        <f>I84</f>
        <v>0</v>
      </c>
    </row>
    <row r="84" spans="1:9" s="15" customFormat="1" ht="51" customHeight="1">
      <c r="A84" s="110"/>
      <c r="B84" s="111"/>
      <c r="C84" s="82" t="s">
        <v>58</v>
      </c>
      <c r="D84" s="23" t="s">
        <v>59</v>
      </c>
      <c r="E84" s="24" t="s">
        <v>81</v>
      </c>
      <c r="F84" s="24" t="s">
        <v>143</v>
      </c>
      <c r="G84" s="24" t="s">
        <v>137</v>
      </c>
      <c r="H84" s="25"/>
      <c r="I84" s="25"/>
    </row>
    <row r="85" spans="1:9" s="15" customFormat="1" ht="12.75" customHeight="1">
      <c r="A85" s="109" t="s">
        <v>146</v>
      </c>
      <c r="B85" s="109" t="s">
        <v>41</v>
      </c>
      <c r="C85" s="82" t="s">
        <v>57</v>
      </c>
      <c r="D85" s="23"/>
      <c r="E85" s="23"/>
      <c r="F85" s="23"/>
      <c r="G85" s="23"/>
      <c r="H85" s="105">
        <f>H86</f>
        <v>6058.3870000000006</v>
      </c>
      <c r="I85" s="105">
        <f>I86</f>
        <v>5987.9505899999995</v>
      </c>
    </row>
    <row r="86" spans="1:9" s="15" customFormat="1" ht="13.2">
      <c r="A86" s="110"/>
      <c r="B86" s="110"/>
      <c r="C86" s="82" t="s">
        <v>131</v>
      </c>
      <c r="D86" s="23"/>
      <c r="E86" s="23"/>
      <c r="F86" s="23"/>
      <c r="G86" s="23"/>
      <c r="H86" s="25">
        <f>H87+H88+H89</f>
        <v>6058.3870000000006</v>
      </c>
      <c r="I86" s="25">
        <f>I87+I88+I89</f>
        <v>5987.9505899999995</v>
      </c>
    </row>
    <row r="87" spans="1:9" s="15" customFormat="1" ht="34.5" customHeight="1">
      <c r="A87" s="110"/>
      <c r="B87" s="110"/>
      <c r="C87" s="109" t="s">
        <v>132</v>
      </c>
      <c r="D87" s="23" t="s">
        <v>59</v>
      </c>
      <c r="E87" s="24" t="s">
        <v>109</v>
      </c>
      <c r="F87" s="24" t="s">
        <v>145</v>
      </c>
      <c r="G87" s="24" t="s">
        <v>594</v>
      </c>
      <c r="H87" s="25">
        <f>4432.997+233.0543</f>
        <v>4666.0513000000001</v>
      </c>
      <c r="I87" s="25">
        <f>4429.96588+233.0543</f>
        <v>4663.0201799999995</v>
      </c>
    </row>
    <row r="88" spans="1:9" s="15" customFormat="1" ht="20.25" customHeight="1">
      <c r="A88" s="110"/>
      <c r="B88" s="110"/>
      <c r="C88" s="110"/>
      <c r="D88" s="23" t="s">
        <v>59</v>
      </c>
      <c r="E88" s="24" t="s">
        <v>109</v>
      </c>
      <c r="F88" s="24" t="s">
        <v>145</v>
      </c>
      <c r="G88" s="24" t="s">
        <v>584</v>
      </c>
      <c r="H88" s="25">
        <v>1360.8737000000001</v>
      </c>
      <c r="I88" s="25">
        <v>1293.4684099999999</v>
      </c>
    </row>
    <row r="89" spans="1:9" s="15" customFormat="1" ht="20.25" customHeight="1">
      <c r="A89" s="110"/>
      <c r="B89" s="111"/>
      <c r="C89" s="111"/>
      <c r="D89" s="23" t="s">
        <v>59</v>
      </c>
      <c r="E89" s="24" t="s">
        <v>109</v>
      </c>
      <c r="F89" s="24" t="s">
        <v>145</v>
      </c>
      <c r="G89" s="24" t="s">
        <v>598</v>
      </c>
      <c r="H89" s="25">
        <v>31.462</v>
      </c>
      <c r="I89" s="25">
        <v>31.462</v>
      </c>
    </row>
    <row r="90" spans="1:9" s="15" customFormat="1" ht="12.75" customHeight="1">
      <c r="A90" s="109" t="s">
        <v>148</v>
      </c>
      <c r="B90" s="109" t="s">
        <v>40</v>
      </c>
      <c r="C90" s="82" t="s">
        <v>57</v>
      </c>
      <c r="D90" s="23"/>
      <c r="E90" s="23"/>
      <c r="F90" s="23"/>
      <c r="G90" s="23"/>
      <c r="H90" s="105">
        <f>H91</f>
        <v>45232.518199999999</v>
      </c>
      <c r="I90" s="105">
        <f>I91</f>
        <v>44838.992609999994</v>
      </c>
    </row>
    <row r="91" spans="1:9" s="15" customFormat="1" ht="13.2">
      <c r="A91" s="110"/>
      <c r="B91" s="110"/>
      <c r="C91" s="82" t="s">
        <v>131</v>
      </c>
      <c r="D91" s="23"/>
      <c r="E91" s="23"/>
      <c r="F91" s="23"/>
      <c r="G91" s="23"/>
      <c r="H91" s="25">
        <f>H92+H93+H95+H94</f>
        <v>45232.518199999999</v>
      </c>
      <c r="I91" s="25">
        <f>I92+I93+I95+I94</f>
        <v>44838.992609999994</v>
      </c>
    </row>
    <row r="92" spans="1:9" s="15" customFormat="1" ht="36" customHeight="1">
      <c r="A92" s="110"/>
      <c r="B92" s="110"/>
      <c r="C92" s="109" t="s">
        <v>132</v>
      </c>
      <c r="D92" s="23" t="s">
        <v>59</v>
      </c>
      <c r="E92" s="24" t="s">
        <v>109</v>
      </c>
      <c r="F92" s="24" t="s">
        <v>147</v>
      </c>
      <c r="G92" s="24" t="s">
        <v>599</v>
      </c>
      <c r="H92" s="25">
        <f>12284.119+12609.513+5.06903+131.3625</f>
        <v>25030.063529999999</v>
      </c>
      <c r="I92" s="25">
        <f>12273.85462+12595.65552+5.06903+129.3625</f>
        <v>25003.941669999997</v>
      </c>
    </row>
    <row r="93" spans="1:9" s="15" customFormat="1" ht="36" customHeight="1">
      <c r="A93" s="110"/>
      <c r="B93" s="110"/>
      <c r="C93" s="110"/>
      <c r="D93" s="23" t="s">
        <v>59</v>
      </c>
      <c r="E93" s="24" t="s">
        <v>109</v>
      </c>
      <c r="F93" s="24" t="s">
        <v>147</v>
      </c>
      <c r="G93" s="24" t="s">
        <v>584</v>
      </c>
      <c r="H93" s="25">
        <f>1671.73497+8842.61419</f>
        <v>10514.34916</v>
      </c>
      <c r="I93" s="25">
        <f>1671.73497+8475.21046</f>
        <v>10146.94543</v>
      </c>
    </row>
    <row r="94" spans="1:9" s="15" customFormat="1" ht="36" customHeight="1">
      <c r="A94" s="110"/>
      <c r="B94" s="110"/>
      <c r="C94" s="110"/>
      <c r="D94" s="23" t="s">
        <v>59</v>
      </c>
      <c r="E94" s="24" t="s">
        <v>109</v>
      </c>
      <c r="F94" s="24" t="s">
        <v>147</v>
      </c>
      <c r="G94" s="24" t="s">
        <v>570</v>
      </c>
      <c r="H94" s="25">
        <v>9657.6191999999992</v>
      </c>
      <c r="I94" s="25">
        <v>9657.6191999999992</v>
      </c>
    </row>
    <row r="95" spans="1:9" s="15" customFormat="1" ht="20.25" customHeight="1">
      <c r="A95" s="110"/>
      <c r="B95" s="111"/>
      <c r="C95" s="111"/>
      <c r="D95" s="23" t="s">
        <v>59</v>
      </c>
      <c r="E95" s="24" t="s">
        <v>109</v>
      </c>
      <c r="F95" s="24" t="s">
        <v>147</v>
      </c>
      <c r="G95" s="24" t="s">
        <v>600</v>
      </c>
      <c r="H95" s="25">
        <f>18.168+12.31831</f>
        <v>30.48631</v>
      </c>
      <c r="I95" s="25">
        <f>18.168+12.31831</f>
        <v>30.48631</v>
      </c>
    </row>
    <row r="96" spans="1:9" s="15" customFormat="1" ht="12.75" customHeight="1">
      <c r="A96" s="109" t="s">
        <v>150</v>
      </c>
      <c r="B96" s="109" t="s">
        <v>39</v>
      </c>
      <c r="C96" s="82" t="s">
        <v>57</v>
      </c>
      <c r="D96" s="23"/>
      <c r="E96" s="23"/>
      <c r="F96" s="23"/>
      <c r="G96" s="23"/>
      <c r="H96" s="105">
        <f>H97</f>
        <v>162.357</v>
      </c>
      <c r="I96" s="105">
        <f>I97</f>
        <v>162.357</v>
      </c>
    </row>
    <row r="97" spans="1:9" s="15" customFormat="1" ht="13.2">
      <c r="A97" s="110"/>
      <c r="B97" s="110"/>
      <c r="C97" s="82" t="s">
        <v>131</v>
      </c>
      <c r="D97" s="23"/>
      <c r="E97" s="23"/>
      <c r="F97" s="23"/>
      <c r="G97" s="23"/>
      <c r="H97" s="25">
        <f>H98</f>
        <v>162.357</v>
      </c>
      <c r="I97" s="25">
        <f>I98</f>
        <v>162.357</v>
      </c>
    </row>
    <row r="98" spans="1:9" s="15" customFormat="1" ht="42" customHeight="1">
      <c r="A98" s="110"/>
      <c r="B98" s="110"/>
      <c r="C98" s="83" t="s">
        <v>132</v>
      </c>
      <c r="D98" s="23" t="s">
        <v>59</v>
      </c>
      <c r="E98" s="24" t="s">
        <v>109</v>
      </c>
      <c r="F98" s="24" t="s">
        <v>149</v>
      </c>
      <c r="G98" s="24" t="s">
        <v>573</v>
      </c>
      <c r="H98" s="25">
        <v>162.357</v>
      </c>
      <c r="I98" s="25">
        <v>162.357</v>
      </c>
    </row>
    <row r="99" spans="1:9" s="15" customFormat="1" ht="12.75" customHeight="1">
      <c r="A99" s="109" t="s">
        <v>597</v>
      </c>
      <c r="B99" s="109" t="s">
        <v>585</v>
      </c>
      <c r="C99" s="82" t="s">
        <v>57</v>
      </c>
      <c r="D99" s="23"/>
      <c r="E99" s="23"/>
      <c r="F99" s="23"/>
      <c r="G99" s="23"/>
      <c r="H99" s="105">
        <f>H100</f>
        <v>8.2924699999999998</v>
      </c>
      <c r="I99" s="105">
        <f>I100</f>
        <v>2.6810100000000001</v>
      </c>
    </row>
    <row r="100" spans="1:9" s="15" customFormat="1" ht="13.2">
      <c r="A100" s="110"/>
      <c r="B100" s="110"/>
      <c r="C100" s="82" t="s">
        <v>131</v>
      </c>
      <c r="D100" s="23"/>
      <c r="E100" s="23"/>
      <c r="F100" s="23"/>
      <c r="G100" s="23"/>
      <c r="H100" s="25">
        <f>H101+H102</f>
        <v>8.2924699999999998</v>
      </c>
      <c r="I100" s="25">
        <f>I101+I102</f>
        <v>2.6810100000000001</v>
      </c>
    </row>
    <row r="101" spans="1:9" s="15" customFormat="1" ht="26.4" customHeight="1">
      <c r="A101" s="110"/>
      <c r="B101" s="110"/>
      <c r="C101" s="109" t="s">
        <v>132</v>
      </c>
      <c r="D101" s="23" t="s">
        <v>59</v>
      </c>
      <c r="E101" s="24" t="s">
        <v>109</v>
      </c>
      <c r="F101" s="24" t="s">
        <v>605</v>
      </c>
      <c r="G101" s="24" t="s">
        <v>584</v>
      </c>
      <c r="H101" s="25">
        <f>2.69751+2.6516</f>
        <v>5.3491099999999996</v>
      </c>
      <c r="I101" s="25">
        <f>1.28125+0.76356</f>
        <v>2.04481</v>
      </c>
    </row>
    <row r="102" spans="1:9" s="15" customFormat="1" ht="24" customHeight="1">
      <c r="A102" s="110"/>
      <c r="B102" s="110"/>
      <c r="C102" s="110"/>
      <c r="D102" s="23" t="s">
        <v>59</v>
      </c>
      <c r="E102" s="24" t="s">
        <v>109</v>
      </c>
      <c r="F102" s="24" t="s">
        <v>605</v>
      </c>
      <c r="G102" s="24" t="s">
        <v>573</v>
      </c>
      <c r="H102" s="25">
        <v>2.9433600000000002</v>
      </c>
      <c r="I102" s="25">
        <v>0.63619999999999999</v>
      </c>
    </row>
    <row r="103" spans="1:9" s="15" customFormat="1" ht="12.75" customHeight="1">
      <c r="A103" s="109" t="s">
        <v>601</v>
      </c>
      <c r="B103" s="109" t="s">
        <v>38</v>
      </c>
      <c r="C103" s="82" t="s">
        <v>57</v>
      </c>
      <c r="D103" s="23"/>
      <c r="E103" s="23"/>
      <c r="F103" s="23"/>
      <c r="G103" s="23"/>
      <c r="H103" s="105">
        <f>H104</f>
        <v>2.42</v>
      </c>
      <c r="I103" s="105">
        <f>I104</f>
        <v>2.42</v>
      </c>
    </row>
    <row r="104" spans="1:9" s="15" customFormat="1" ht="13.2">
      <c r="A104" s="110"/>
      <c r="B104" s="110"/>
      <c r="C104" s="82" t="s">
        <v>131</v>
      </c>
      <c r="D104" s="23"/>
      <c r="E104" s="23"/>
      <c r="F104" s="23"/>
      <c r="G104" s="23"/>
      <c r="H104" s="25">
        <f>H105+H106</f>
        <v>2.42</v>
      </c>
      <c r="I104" s="25">
        <f>I105+I106</f>
        <v>2.42</v>
      </c>
    </row>
    <row r="105" spans="1:9" s="15" customFormat="1" ht="31.8" customHeight="1">
      <c r="A105" s="110"/>
      <c r="B105" s="110"/>
      <c r="C105" s="109" t="s">
        <v>132</v>
      </c>
      <c r="D105" s="23" t="s">
        <v>59</v>
      </c>
      <c r="E105" s="24" t="s">
        <v>109</v>
      </c>
      <c r="F105" s="24" t="s">
        <v>151</v>
      </c>
      <c r="G105" s="24" t="s">
        <v>134</v>
      </c>
      <c r="H105" s="25"/>
      <c r="I105" s="25"/>
    </row>
    <row r="106" spans="1:9" s="15" customFormat="1" ht="21.6" customHeight="1">
      <c r="A106" s="110"/>
      <c r="B106" s="110"/>
      <c r="C106" s="110"/>
      <c r="D106" s="23" t="s">
        <v>59</v>
      </c>
      <c r="E106" s="24" t="s">
        <v>109</v>
      </c>
      <c r="F106" s="24" t="s">
        <v>151</v>
      </c>
      <c r="G106" s="24" t="s">
        <v>570</v>
      </c>
      <c r="H106" s="25">
        <v>2.42</v>
      </c>
      <c r="I106" s="25">
        <v>2.42</v>
      </c>
    </row>
    <row r="107" spans="1:9" s="15" customFormat="1" ht="12.75" customHeight="1">
      <c r="A107" s="109" t="s">
        <v>604</v>
      </c>
      <c r="B107" s="109" t="s">
        <v>603</v>
      </c>
      <c r="C107" s="82" t="s">
        <v>57</v>
      </c>
      <c r="D107" s="23"/>
      <c r="E107" s="23"/>
      <c r="F107" s="23"/>
      <c r="G107" s="23"/>
      <c r="H107" s="105">
        <f>H108</f>
        <v>50.7</v>
      </c>
      <c r="I107" s="105">
        <f>I108</f>
        <v>50.7</v>
      </c>
    </row>
    <row r="108" spans="1:9" s="15" customFormat="1" ht="13.2">
      <c r="A108" s="110"/>
      <c r="B108" s="110"/>
      <c r="C108" s="82" t="s">
        <v>131</v>
      </c>
      <c r="D108" s="23"/>
      <c r="E108" s="23"/>
      <c r="F108" s="23"/>
      <c r="G108" s="23"/>
      <c r="H108" s="25">
        <f>H109</f>
        <v>50.7</v>
      </c>
      <c r="I108" s="25">
        <f>I109</f>
        <v>50.7</v>
      </c>
    </row>
    <row r="109" spans="1:9" s="15" customFormat="1" ht="97.2" customHeight="1">
      <c r="A109" s="110"/>
      <c r="B109" s="110"/>
      <c r="C109" s="83" t="s">
        <v>132</v>
      </c>
      <c r="D109" s="23" t="s">
        <v>59</v>
      </c>
      <c r="E109" s="24" t="s">
        <v>64</v>
      </c>
      <c r="F109" s="24" t="s">
        <v>602</v>
      </c>
      <c r="G109" s="24" t="s">
        <v>584</v>
      </c>
      <c r="H109" s="25">
        <v>50.7</v>
      </c>
      <c r="I109" s="25">
        <v>50.7</v>
      </c>
    </row>
    <row r="110" spans="1:9" s="93" customFormat="1" ht="30" customHeight="1">
      <c r="A110" s="166" t="s">
        <v>152</v>
      </c>
      <c r="B110" s="167"/>
      <c r="C110" s="90" t="s">
        <v>57</v>
      </c>
      <c r="D110" s="91"/>
      <c r="E110" s="91"/>
      <c r="F110" s="91"/>
      <c r="G110" s="91"/>
      <c r="H110" s="92">
        <f>H111</f>
        <v>73582.872000000003</v>
      </c>
      <c r="I110" s="92">
        <f>I111</f>
        <v>67268.795463000002</v>
      </c>
    </row>
    <row r="111" spans="1:9" s="93" customFormat="1" ht="45.6" customHeight="1">
      <c r="A111" s="166"/>
      <c r="B111" s="167"/>
      <c r="C111" s="90" t="s">
        <v>153</v>
      </c>
      <c r="D111" s="91" t="s">
        <v>155</v>
      </c>
      <c r="E111" s="91"/>
      <c r="F111" s="91"/>
      <c r="G111" s="91"/>
      <c r="H111" s="94">
        <f>H112+H133+H160+H180</f>
        <v>73582.872000000003</v>
      </c>
      <c r="I111" s="94">
        <f>I112+I133+I160+I180</f>
        <v>67268.795463000002</v>
      </c>
    </row>
    <row r="112" spans="1:9" s="15" customFormat="1" ht="12.75" customHeight="1">
      <c r="A112" s="106" t="s">
        <v>154</v>
      </c>
      <c r="B112" s="82"/>
      <c r="C112" s="82" t="s">
        <v>57</v>
      </c>
      <c r="D112" s="23"/>
      <c r="E112" s="24"/>
      <c r="F112" s="24"/>
      <c r="G112" s="24"/>
      <c r="H112" s="105">
        <f>H113</f>
        <v>10500.660079999998</v>
      </c>
      <c r="I112" s="105">
        <f>I113</f>
        <v>10410.659079999998</v>
      </c>
    </row>
    <row r="113" spans="1:9" s="15" customFormat="1" ht="26.4" customHeight="1">
      <c r="A113" s="106"/>
      <c r="B113" s="82"/>
      <c r="C113" s="109" t="s">
        <v>153</v>
      </c>
      <c r="D113" s="23" t="s">
        <v>155</v>
      </c>
      <c r="E113" s="24"/>
      <c r="F113" s="24"/>
      <c r="G113" s="24"/>
      <c r="H113" s="25">
        <f>SUM(H114:H132)</f>
        <v>10500.660079999998</v>
      </c>
      <c r="I113" s="25">
        <f>SUM(I114:I132)</f>
        <v>10410.659079999998</v>
      </c>
    </row>
    <row r="114" spans="1:9" s="15" customFormat="1" ht="55.8" customHeight="1">
      <c r="A114" s="106"/>
      <c r="B114" s="82" t="s">
        <v>30</v>
      </c>
      <c r="C114" s="110"/>
      <c r="D114" s="23" t="s">
        <v>155</v>
      </c>
      <c r="E114" s="24" t="s">
        <v>156</v>
      </c>
      <c r="F114" s="24" t="s">
        <v>157</v>
      </c>
      <c r="G114" s="24" t="s">
        <v>570</v>
      </c>
      <c r="H114" s="25">
        <f>213.574+168.06</f>
        <v>381.63400000000001</v>
      </c>
      <c r="I114" s="25">
        <f>213.573+168.06</f>
        <v>381.63300000000004</v>
      </c>
    </row>
    <row r="115" spans="1:9" s="15" customFormat="1" ht="69.599999999999994" customHeight="1">
      <c r="A115" s="106"/>
      <c r="B115" s="82" t="s">
        <v>66</v>
      </c>
      <c r="C115" s="110"/>
      <c r="D115" s="23" t="s">
        <v>155</v>
      </c>
      <c r="E115" s="24" t="s">
        <v>156</v>
      </c>
      <c r="F115" s="24" t="s">
        <v>158</v>
      </c>
      <c r="G115" s="24" t="s">
        <v>63</v>
      </c>
      <c r="H115" s="25"/>
      <c r="I115" s="25"/>
    </row>
    <row r="116" spans="1:9" s="15" customFormat="1" ht="68.400000000000006" customHeight="1">
      <c r="A116" s="106"/>
      <c r="B116" s="82" t="s">
        <v>572</v>
      </c>
      <c r="C116" s="110"/>
      <c r="D116" s="23" t="s">
        <v>155</v>
      </c>
      <c r="E116" s="24" t="s">
        <v>156</v>
      </c>
      <c r="F116" s="24" t="s">
        <v>606</v>
      </c>
      <c r="G116" s="24" t="s">
        <v>570</v>
      </c>
      <c r="H116" s="25">
        <v>32.798999999999999</v>
      </c>
      <c r="I116" s="25">
        <v>32.798999999999999</v>
      </c>
    </row>
    <row r="117" spans="1:9" s="15" customFormat="1" ht="28.8" customHeight="1">
      <c r="A117" s="106"/>
      <c r="B117" s="82" t="s">
        <v>611</v>
      </c>
      <c r="C117" s="110"/>
      <c r="D117" s="23" t="s">
        <v>155</v>
      </c>
      <c r="E117" s="24" t="s">
        <v>156</v>
      </c>
      <c r="F117" s="24" t="s">
        <v>607</v>
      </c>
      <c r="G117" s="24" t="s">
        <v>609</v>
      </c>
      <c r="H117" s="25">
        <v>90</v>
      </c>
      <c r="I117" s="25">
        <v>0</v>
      </c>
    </row>
    <row r="118" spans="1:9" s="15" customFormat="1" ht="40.799999999999997" customHeight="1">
      <c r="A118" s="106"/>
      <c r="B118" s="82" t="s">
        <v>613</v>
      </c>
      <c r="C118" s="110"/>
      <c r="D118" s="23" t="s">
        <v>155</v>
      </c>
      <c r="E118" s="24" t="s">
        <v>156</v>
      </c>
      <c r="F118" s="24" t="s">
        <v>608</v>
      </c>
      <c r="G118" s="24" t="s">
        <v>570</v>
      </c>
      <c r="H118" s="25">
        <v>17.2</v>
      </c>
      <c r="I118" s="25">
        <v>17.2</v>
      </c>
    </row>
    <row r="119" spans="1:9" s="15" customFormat="1" ht="30.6" customHeight="1">
      <c r="A119" s="106"/>
      <c r="B119" s="82" t="s">
        <v>159</v>
      </c>
      <c r="C119" s="110"/>
      <c r="D119" s="23" t="s">
        <v>155</v>
      </c>
      <c r="E119" s="24" t="s">
        <v>156</v>
      </c>
      <c r="F119" s="24" t="s">
        <v>160</v>
      </c>
      <c r="G119" s="24" t="s">
        <v>161</v>
      </c>
      <c r="H119" s="25"/>
      <c r="I119" s="25"/>
    </row>
    <row r="120" spans="1:9" s="15" customFormat="1" ht="28.8" customHeight="1">
      <c r="A120" s="106"/>
      <c r="B120" s="82" t="s">
        <v>184</v>
      </c>
      <c r="C120" s="110"/>
      <c r="D120" s="23" t="s">
        <v>155</v>
      </c>
      <c r="E120" s="24" t="s">
        <v>156</v>
      </c>
      <c r="F120" s="24" t="s">
        <v>612</v>
      </c>
      <c r="G120" s="24" t="s">
        <v>466</v>
      </c>
      <c r="H120" s="25">
        <v>100</v>
      </c>
      <c r="I120" s="25">
        <v>100</v>
      </c>
    </row>
    <row r="121" spans="1:9" s="15" customFormat="1" ht="43.2" customHeight="1">
      <c r="A121" s="106"/>
      <c r="B121" s="82" t="s">
        <v>162</v>
      </c>
      <c r="C121" s="110"/>
      <c r="D121" s="23" t="s">
        <v>155</v>
      </c>
      <c r="E121" s="24" t="s">
        <v>156</v>
      </c>
      <c r="F121" s="24" t="s">
        <v>163</v>
      </c>
      <c r="G121" s="24" t="s">
        <v>63</v>
      </c>
      <c r="H121" s="25"/>
      <c r="I121" s="25"/>
    </row>
    <row r="122" spans="1:9" s="15" customFormat="1" ht="29.4" customHeight="1">
      <c r="A122" s="106"/>
      <c r="B122" s="82" t="s">
        <v>164</v>
      </c>
      <c r="C122" s="110"/>
      <c r="D122" s="23" t="s">
        <v>155</v>
      </c>
      <c r="E122" s="24" t="s">
        <v>156</v>
      </c>
      <c r="F122" s="24" t="s">
        <v>165</v>
      </c>
      <c r="G122" s="24" t="s">
        <v>570</v>
      </c>
      <c r="H122" s="25">
        <v>288.3</v>
      </c>
      <c r="I122" s="25">
        <v>288.3</v>
      </c>
    </row>
    <row r="123" spans="1:9" s="15" customFormat="1" ht="54" customHeight="1">
      <c r="A123" s="106"/>
      <c r="B123" s="82" t="s">
        <v>581</v>
      </c>
      <c r="C123" s="110"/>
      <c r="D123" s="23" t="s">
        <v>155</v>
      </c>
      <c r="E123" s="24" t="s">
        <v>156</v>
      </c>
      <c r="F123" s="24" t="s">
        <v>614</v>
      </c>
      <c r="G123" s="24" t="s">
        <v>573</v>
      </c>
      <c r="H123" s="25">
        <v>111.613</v>
      </c>
      <c r="I123" s="25">
        <v>111.613</v>
      </c>
    </row>
    <row r="124" spans="1:9" s="15" customFormat="1" ht="30" customHeight="1">
      <c r="A124" s="106"/>
      <c r="B124" s="82" t="s">
        <v>40</v>
      </c>
      <c r="C124" s="110"/>
      <c r="D124" s="23" t="s">
        <v>155</v>
      </c>
      <c r="E124" s="24" t="s">
        <v>156</v>
      </c>
      <c r="F124" s="24" t="s">
        <v>166</v>
      </c>
      <c r="G124" s="24" t="s">
        <v>570</v>
      </c>
      <c r="H124" s="25">
        <v>9277.9989999999998</v>
      </c>
      <c r="I124" s="25">
        <v>9277.9989999999998</v>
      </c>
    </row>
    <row r="125" spans="1:9" s="15" customFormat="1" ht="30.6" customHeight="1">
      <c r="A125" s="106"/>
      <c r="B125" s="82" t="s">
        <v>39</v>
      </c>
      <c r="C125" s="110"/>
      <c r="D125" s="23" t="s">
        <v>155</v>
      </c>
      <c r="E125" s="24" t="s">
        <v>156</v>
      </c>
      <c r="F125" s="24" t="s">
        <v>167</v>
      </c>
      <c r="G125" s="24" t="s">
        <v>573</v>
      </c>
      <c r="H125" s="25">
        <v>58.667000000000002</v>
      </c>
      <c r="I125" s="25">
        <v>58.667000000000002</v>
      </c>
    </row>
    <row r="126" spans="1:9" s="15" customFormat="1" ht="29.4" customHeight="1">
      <c r="A126" s="106"/>
      <c r="B126" s="82" t="s">
        <v>168</v>
      </c>
      <c r="C126" s="110"/>
      <c r="D126" s="23" t="s">
        <v>155</v>
      </c>
      <c r="E126" s="24" t="s">
        <v>75</v>
      </c>
      <c r="F126" s="24" t="s">
        <v>169</v>
      </c>
      <c r="G126" s="24" t="s">
        <v>573</v>
      </c>
      <c r="H126" s="25">
        <v>11.3</v>
      </c>
      <c r="I126" s="25">
        <v>11.3</v>
      </c>
    </row>
    <row r="127" spans="1:9" s="15" customFormat="1" ht="16.2" customHeight="1">
      <c r="A127" s="106"/>
      <c r="B127" s="82" t="s">
        <v>170</v>
      </c>
      <c r="C127" s="110"/>
      <c r="D127" s="23" t="s">
        <v>155</v>
      </c>
      <c r="E127" s="24" t="s">
        <v>156</v>
      </c>
      <c r="F127" s="24" t="s">
        <v>171</v>
      </c>
      <c r="G127" s="24" t="s">
        <v>573</v>
      </c>
      <c r="H127" s="25">
        <v>5.15</v>
      </c>
      <c r="I127" s="25">
        <v>5.15</v>
      </c>
    </row>
    <row r="128" spans="1:9" s="15" customFormat="1" ht="26.4">
      <c r="A128" s="106"/>
      <c r="B128" s="82" t="s">
        <v>172</v>
      </c>
      <c r="C128" s="110"/>
      <c r="D128" s="23" t="s">
        <v>155</v>
      </c>
      <c r="E128" s="24" t="s">
        <v>156</v>
      </c>
      <c r="F128" s="24" t="s">
        <v>173</v>
      </c>
      <c r="G128" s="24" t="s">
        <v>63</v>
      </c>
      <c r="H128" s="25"/>
      <c r="I128" s="25"/>
    </row>
    <row r="129" spans="1:9" s="15" customFormat="1" ht="43.8" customHeight="1">
      <c r="A129" s="106"/>
      <c r="B129" s="82" t="s">
        <v>174</v>
      </c>
      <c r="C129" s="110"/>
      <c r="D129" s="23" t="s">
        <v>155</v>
      </c>
      <c r="E129" s="24" t="s">
        <v>156</v>
      </c>
      <c r="F129" s="24" t="s">
        <v>175</v>
      </c>
      <c r="G129" s="24" t="s">
        <v>573</v>
      </c>
      <c r="H129" s="25">
        <v>40</v>
      </c>
      <c r="I129" s="25">
        <v>40</v>
      </c>
    </row>
    <row r="130" spans="1:9" s="15" customFormat="1" ht="68.400000000000006" customHeight="1">
      <c r="A130" s="106"/>
      <c r="B130" s="82" t="s">
        <v>585</v>
      </c>
      <c r="C130" s="110"/>
      <c r="D130" s="23" t="s">
        <v>155</v>
      </c>
      <c r="E130" s="24" t="s">
        <v>156</v>
      </c>
      <c r="F130" s="24" t="s">
        <v>615</v>
      </c>
      <c r="G130" s="24" t="s">
        <v>573</v>
      </c>
      <c r="H130" s="25">
        <v>2.69808</v>
      </c>
      <c r="I130" s="25">
        <v>2.69808</v>
      </c>
    </row>
    <row r="131" spans="1:9" s="15" customFormat="1" ht="40.200000000000003" customHeight="1">
      <c r="A131" s="106"/>
      <c r="B131" s="82" t="s">
        <v>176</v>
      </c>
      <c r="C131" s="110"/>
      <c r="D131" s="23" t="s">
        <v>155</v>
      </c>
      <c r="E131" s="24" t="s">
        <v>156</v>
      </c>
      <c r="F131" s="24" t="s">
        <v>177</v>
      </c>
      <c r="G131" s="24" t="s">
        <v>570</v>
      </c>
      <c r="H131" s="25">
        <v>83.3</v>
      </c>
      <c r="I131" s="25">
        <v>83.3</v>
      </c>
    </row>
    <row r="132" spans="1:9" s="15" customFormat="1" ht="30" customHeight="1">
      <c r="A132" s="106"/>
      <c r="B132" s="82" t="s">
        <v>178</v>
      </c>
      <c r="C132" s="110"/>
      <c r="D132" s="23" t="s">
        <v>155</v>
      </c>
      <c r="E132" s="24" t="s">
        <v>156</v>
      </c>
      <c r="F132" s="24" t="s">
        <v>179</v>
      </c>
      <c r="G132" s="24" t="s">
        <v>63</v>
      </c>
      <c r="H132" s="25"/>
      <c r="I132" s="25"/>
    </row>
    <row r="133" spans="1:9" s="15" customFormat="1" ht="23.25" customHeight="1">
      <c r="A133" s="109" t="s">
        <v>180</v>
      </c>
      <c r="B133" s="82"/>
      <c r="C133" s="82" t="s">
        <v>57</v>
      </c>
      <c r="D133" s="23"/>
      <c r="E133" s="24"/>
      <c r="F133" s="24"/>
      <c r="G133" s="24"/>
      <c r="H133" s="105">
        <f>H134</f>
        <v>33582.108410000001</v>
      </c>
      <c r="I133" s="105">
        <f>I134</f>
        <v>27419.0723</v>
      </c>
    </row>
    <row r="134" spans="1:9" s="15" customFormat="1" ht="21.6" customHeight="1">
      <c r="A134" s="110"/>
      <c r="B134" s="82"/>
      <c r="C134" s="109" t="s">
        <v>153</v>
      </c>
      <c r="D134" s="23"/>
      <c r="E134" s="24"/>
      <c r="F134" s="24"/>
      <c r="G134" s="24"/>
      <c r="H134" s="25">
        <f>SUM(H135:H159)</f>
        <v>33582.108410000001</v>
      </c>
      <c r="I134" s="25">
        <f>SUM(I135:I159)</f>
        <v>27419.0723</v>
      </c>
    </row>
    <row r="135" spans="1:9" s="15" customFormat="1" ht="55.8" customHeight="1">
      <c r="A135" s="110"/>
      <c r="B135" s="82" t="s">
        <v>30</v>
      </c>
      <c r="C135" s="110"/>
      <c r="D135" s="23" t="s">
        <v>155</v>
      </c>
      <c r="E135" s="24" t="s">
        <v>156</v>
      </c>
      <c r="F135" s="24" t="s">
        <v>181</v>
      </c>
      <c r="G135" s="24" t="s">
        <v>570</v>
      </c>
      <c r="H135" s="25">
        <f>584.25+661.311</f>
        <v>1245.5610000000001</v>
      </c>
      <c r="I135" s="25">
        <f>584.25+661.311</f>
        <v>1245.5610000000001</v>
      </c>
    </row>
    <row r="136" spans="1:9" s="15" customFormat="1" ht="67.2" customHeight="1">
      <c r="A136" s="110"/>
      <c r="B136" s="82" t="s">
        <v>66</v>
      </c>
      <c r="C136" s="110"/>
      <c r="D136" s="23" t="s">
        <v>155</v>
      </c>
      <c r="E136" s="24" t="s">
        <v>156</v>
      </c>
      <c r="F136" s="24" t="s">
        <v>182</v>
      </c>
      <c r="G136" s="24" t="s">
        <v>63</v>
      </c>
      <c r="H136" s="25"/>
      <c r="I136" s="25"/>
    </row>
    <row r="137" spans="1:9" s="15" customFormat="1" ht="28.8" customHeight="1">
      <c r="A137" s="110"/>
      <c r="B137" s="82" t="s">
        <v>68</v>
      </c>
      <c r="C137" s="110"/>
      <c r="D137" s="23" t="s">
        <v>155</v>
      </c>
      <c r="E137" s="24" t="s">
        <v>156</v>
      </c>
      <c r="F137" s="24" t="s">
        <v>183</v>
      </c>
      <c r="G137" s="24" t="s">
        <v>570</v>
      </c>
      <c r="H137" s="25">
        <v>176.67400000000001</v>
      </c>
      <c r="I137" s="25">
        <v>176.67400000000001</v>
      </c>
    </row>
    <row r="138" spans="1:9" s="15" customFormat="1" ht="19.2" customHeight="1">
      <c r="A138" s="110"/>
      <c r="B138" s="109" t="s">
        <v>184</v>
      </c>
      <c r="C138" s="110"/>
      <c r="D138" s="23" t="s">
        <v>155</v>
      </c>
      <c r="E138" s="24" t="s">
        <v>156</v>
      </c>
      <c r="F138" s="24" t="s">
        <v>185</v>
      </c>
      <c r="G138" s="24" t="s">
        <v>63</v>
      </c>
      <c r="H138" s="25"/>
      <c r="I138" s="25"/>
    </row>
    <row r="139" spans="1:9" s="15" customFormat="1" ht="13.2">
      <c r="A139" s="110"/>
      <c r="B139" s="111"/>
      <c r="C139" s="110"/>
      <c r="D139" s="23" t="s">
        <v>155</v>
      </c>
      <c r="E139" s="24" t="s">
        <v>186</v>
      </c>
      <c r="F139" s="24" t="s">
        <v>185</v>
      </c>
      <c r="G139" s="24" t="s">
        <v>161</v>
      </c>
      <c r="H139" s="25"/>
      <c r="I139" s="25"/>
    </row>
    <row r="140" spans="1:9" s="15" customFormat="1" ht="39.6" customHeight="1">
      <c r="A140" s="110"/>
      <c r="B140" s="82" t="s">
        <v>187</v>
      </c>
      <c r="C140" s="110"/>
      <c r="D140" s="23" t="s">
        <v>155</v>
      </c>
      <c r="E140" s="24" t="s">
        <v>186</v>
      </c>
      <c r="F140" s="24" t="s">
        <v>188</v>
      </c>
      <c r="G140" s="24" t="s">
        <v>161</v>
      </c>
      <c r="H140" s="25"/>
      <c r="I140" s="25"/>
    </row>
    <row r="141" spans="1:9" s="15" customFormat="1" ht="31.8" customHeight="1">
      <c r="A141" s="110"/>
      <c r="B141" s="82" t="s">
        <v>617</v>
      </c>
      <c r="C141" s="110"/>
      <c r="D141" s="23" t="s">
        <v>155</v>
      </c>
      <c r="E141" s="24" t="s">
        <v>351</v>
      </c>
      <c r="F141" s="24" t="s">
        <v>616</v>
      </c>
      <c r="G141" s="24" t="s">
        <v>584</v>
      </c>
      <c r="H141" s="25">
        <v>1982.35</v>
      </c>
      <c r="I141" s="25">
        <v>1882.3489999999999</v>
      </c>
    </row>
    <row r="142" spans="1:9" s="15" customFormat="1" ht="42.6" customHeight="1">
      <c r="A142" s="110"/>
      <c r="B142" s="82" t="s">
        <v>189</v>
      </c>
      <c r="C142" s="110"/>
      <c r="D142" s="23" t="s">
        <v>155</v>
      </c>
      <c r="E142" s="24" t="s">
        <v>186</v>
      </c>
      <c r="F142" s="24" t="s">
        <v>190</v>
      </c>
      <c r="G142" s="24" t="s">
        <v>573</v>
      </c>
      <c r="H142" s="25">
        <v>200</v>
      </c>
      <c r="I142" s="25">
        <v>200</v>
      </c>
    </row>
    <row r="143" spans="1:9" s="15" customFormat="1" ht="82.2" customHeight="1">
      <c r="A143" s="110"/>
      <c r="B143" s="82" t="s">
        <v>621</v>
      </c>
      <c r="C143" s="110"/>
      <c r="D143" s="23" t="s">
        <v>155</v>
      </c>
      <c r="E143" s="24" t="s">
        <v>156</v>
      </c>
      <c r="F143" s="24" t="s">
        <v>618</v>
      </c>
      <c r="G143" s="24" t="s">
        <v>619</v>
      </c>
      <c r="H143" s="25">
        <v>5021.28</v>
      </c>
      <c r="I143" s="25">
        <v>0</v>
      </c>
    </row>
    <row r="144" spans="1:9" s="15" customFormat="1" ht="55.8" customHeight="1">
      <c r="A144" s="110"/>
      <c r="B144" s="82" t="s">
        <v>581</v>
      </c>
      <c r="C144" s="110"/>
      <c r="D144" s="23" t="s">
        <v>155</v>
      </c>
      <c r="E144" s="24" t="s">
        <v>156</v>
      </c>
      <c r="F144" s="24" t="s">
        <v>620</v>
      </c>
      <c r="G144" s="24" t="s">
        <v>573</v>
      </c>
      <c r="H144" s="25">
        <v>528.93899999999996</v>
      </c>
      <c r="I144" s="25">
        <v>528.89700000000005</v>
      </c>
    </row>
    <row r="145" spans="1:9" s="15" customFormat="1" ht="67.8" customHeight="1">
      <c r="A145" s="110"/>
      <c r="B145" s="82" t="s">
        <v>191</v>
      </c>
      <c r="C145" s="110"/>
      <c r="D145" s="23" t="s">
        <v>155</v>
      </c>
      <c r="E145" s="24" t="s">
        <v>156</v>
      </c>
      <c r="F145" s="24" t="s">
        <v>192</v>
      </c>
      <c r="G145" s="24" t="s">
        <v>63</v>
      </c>
      <c r="H145" s="25"/>
      <c r="I145" s="25"/>
    </row>
    <row r="146" spans="1:9" s="15" customFormat="1" ht="28.8" customHeight="1">
      <c r="A146" s="110"/>
      <c r="B146" s="82" t="s">
        <v>566</v>
      </c>
      <c r="C146" s="110"/>
      <c r="D146" s="23" t="s">
        <v>155</v>
      </c>
      <c r="E146" s="24" t="s">
        <v>156</v>
      </c>
      <c r="F146" s="24" t="s">
        <v>193</v>
      </c>
      <c r="G146" s="24" t="s">
        <v>63</v>
      </c>
      <c r="H146" s="25"/>
      <c r="I146" s="25"/>
    </row>
    <row r="147" spans="1:9" s="15" customFormat="1" ht="29.4" customHeight="1">
      <c r="A147" s="110"/>
      <c r="B147" s="82" t="s">
        <v>40</v>
      </c>
      <c r="C147" s="110"/>
      <c r="D147" s="23" t="s">
        <v>155</v>
      </c>
      <c r="E147" s="24" t="s">
        <v>156</v>
      </c>
      <c r="F147" s="24" t="s">
        <v>194</v>
      </c>
      <c r="G147" s="24" t="s">
        <v>570</v>
      </c>
      <c r="H147" s="25">
        <v>22418.112000000001</v>
      </c>
      <c r="I147" s="25">
        <v>22418.112000000001</v>
      </c>
    </row>
    <row r="148" spans="1:9" s="15" customFormat="1" ht="32.4" customHeight="1">
      <c r="A148" s="110"/>
      <c r="B148" s="82" t="s">
        <v>195</v>
      </c>
      <c r="C148" s="110"/>
      <c r="D148" s="23" t="s">
        <v>155</v>
      </c>
      <c r="E148" s="24" t="s">
        <v>186</v>
      </c>
      <c r="F148" s="24" t="s">
        <v>196</v>
      </c>
      <c r="G148" s="24" t="s">
        <v>584</v>
      </c>
      <c r="H148" s="25">
        <v>580</v>
      </c>
      <c r="I148" s="25">
        <v>580</v>
      </c>
    </row>
    <row r="149" spans="1:9" s="15" customFormat="1" ht="30.6" customHeight="1">
      <c r="A149" s="110"/>
      <c r="B149" s="82" t="s">
        <v>39</v>
      </c>
      <c r="C149" s="110"/>
      <c r="D149" s="23" t="s">
        <v>155</v>
      </c>
      <c r="E149" s="24" t="s">
        <v>156</v>
      </c>
      <c r="F149" s="24" t="s">
        <v>197</v>
      </c>
      <c r="G149" s="24" t="s">
        <v>573</v>
      </c>
      <c r="H149" s="25">
        <v>44.924810000000001</v>
      </c>
      <c r="I149" s="25">
        <v>44.697400000000002</v>
      </c>
    </row>
    <row r="150" spans="1:9" s="15" customFormat="1" ht="26.4">
      <c r="A150" s="110"/>
      <c r="B150" s="82" t="s">
        <v>198</v>
      </c>
      <c r="C150" s="110"/>
      <c r="D150" s="23" t="s">
        <v>155</v>
      </c>
      <c r="E150" s="24" t="s">
        <v>75</v>
      </c>
      <c r="F150" s="24" t="s">
        <v>199</v>
      </c>
      <c r="G150" s="24" t="s">
        <v>573</v>
      </c>
      <c r="H150" s="25">
        <v>15</v>
      </c>
      <c r="I150" s="25">
        <v>15</v>
      </c>
    </row>
    <row r="151" spans="1:9" s="15" customFormat="1" ht="28.8" customHeight="1">
      <c r="A151" s="110"/>
      <c r="B151" s="82" t="s">
        <v>200</v>
      </c>
      <c r="C151" s="110"/>
      <c r="D151" s="23" t="s">
        <v>155</v>
      </c>
      <c r="E151" s="24" t="s">
        <v>156</v>
      </c>
      <c r="F151" s="24" t="s">
        <v>201</v>
      </c>
      <c r="G151" s="24" t="s">
        <v>573</v>
      </c>
      <c r="H151" s="25">
        <v>218.571</v>
      </c>
      <c r="I151" s="25">
        <v>202.54</v>
      </c>
    </row>
    <row r="152" spans="1:9" s="15" customFormat="1" ht="19.2" customHeight="1">
      <c r="A152" s="110"/>
      <c r="B152" s="82" t="s">
        <v>170</v>
      </c>
      <c r="C152" s="110"/>
      <c r="D152" s="23" t="s">
        <v>155</v>
      </c>
      <c r="E152" s="24" t="s">
        <v>156</v>
      </c>
      <c r="F152" s="24" t="s">
        <v>202</v>
      </c>
      <c r="G152" s="24" t="s">
        <v>573</v>
      </c>
      <c r="H152" s="25">
        <v>15.45</v>
      </c>
      <c r="I152" s="25">
        <v>9.8419000000000008</v>
      </c>
    </row>
    <row r="153" spans="1:9" s="15" customFormat="1" ht="26.4">
      <c r="A153" s="110"/>
      <c r="B153" s="82" t="s">
        <v>172</v>
      </c>
      <c r="C153" s="110"/>
      <c r="D153" s="23" t="s">
        <v>155</v>
      </c>
      <c r="E153" s="24" t="s">
        <v>156</v>
      </c>
      <c r="F153" s="24" t="s">
        <v>203</v>
      </c>
      <c r="G153" s="24" t="s">
        <v>63</v>
      </c>
      <c r="H153" s="25"/>
      <c r="I153" s="25"/>
    </row>
    <row r="154" spans="1:9" s="15" customFormat="1" ht="30" customHeight="1">
      <c r="A154" s="110"/>
      <c r="B154" s="82" t="s">
        <v>623</v>
      </c>
      <c r="C154" s="110"/>
      <c r="D154" s="23" t="s">
        <v>155</v>
      </c>
      <c r="E154" s="24" t="s">
        <v>156</v>
      </c>
      <c r="F154" s="24" t="s">
        <v>622</v>
      </c>
      <c r="G154" s="24" t="s">
        <v>573</v>
      </c>
      <c r="H154" s="25">
        <v>80</v>
      </c>
      <c r="I154" s="25">
        <v>80</v>
      </c>
    </row>
    <row r="155" spans="1:9" s="15" customFormat="1" ht="70.2" customHeight="1">
      <c r="A155" s="110"/>
      <c r="B155" s="82" t="s">
        <v>585</v>
      </c>
      <c r="C155" s="110"/>
      <c r="D155" s="23" t="s">
        <v>155</v>
      </c>
      <c r="E155" s="24" t="s">
        <v>156</v>
      </c>
      <c r="F155" s="24" t="s">
        <v>624</v>
      </c>
      <c r="G155" s="24" t="s">
        <v>573</v>
      </c>
      <c r="H155" s="25">
        <v>4.2485999999999997</v>
      </c>
      <c r="I155" s="25">
        <v>0</v>
      </c>
    </row>
    <row r="156" spans="1:9" s="15" customFormat="1" ht="82.2" customHeight="1">
      <c r="A156" s="110"/>
      <c r="B156" s="82" t="s">
        <v>204</v>
      </c>
      <c r="C156" s="110"/>
      <c r="D156" s="23" t="s">
        <v>155</v>
      </c>
      <c r="E156" s="24" t="s">
        <v>156</v>
      </c>
      <c r="F156" s="24" t="s">
        <v>205</v>
      </c>
      <c r="G156" s="24" t="s">
        <v>63</v>
      </c>
      <c r="H156" s="25"/>
      <c r="I156" s="25"/>
    </row>
    <row r="157" spans="1:9" s="15" customFormat="1" ht="54" customHeight="1">
      <c r="A157" s="110"/>
      <c r="B157" s="82" t="s">
        <v>206</v>
      </c>
      <c r="C157" s="110"/>
      <c r="D157" s="23" t="s">
        <v>155</v>
      </c>
      <c r="E157" s="24" t="s">
        <v>156</v>
      </c>
      <c r="F157" s="24" t="s">
        <v>207</v>
      </c>
      <c r="G157" s="24" t="s">
        <v>573</v>
      </c>
      <c r="H157" s="25">
        <v>2.1</v>
      </c>
      <c r="I157" s="25">
        <v>2.1</v>
      </c>
    </row>
    <row r="158" spans="1:9" s="15" customFormat="1" ht="41.4" customHeight="1">
      <c r="A158" s="110"/>
      <c r="B158" s="82" t="s">
        <v>628</v>
      </c>
      <c r="C158" s="84"/>
      <c r="D158" s="23" t="s">
        <v>155</v>
      </c>
      <c r="E158" s="24" t="s">
        <v>186</v>
      </c>
      <c r="F158" s="24" t="s">
        <v>625</v>
      </c>
      <c r="G158" s="24" t="s">
        <v>584</v>
      </c>
      <c r="H158" s="25">
        <v>33.299999999999997</v>
      </c>
      <c r="I158" s="25">
        <v>33.299999999999997</v>
      </c>
    </row>
    <row r="159" spans="1:9" s="15" customFormat="1" ht="94.8" customHeight="1">
      <c r="A159" s="111"/>
      <c r="B159" s="82" t="s">
        <v>629</v>
      </c>
      <c r="C159" s="84"/>
      <c r="D159" s="23" t="s">
        <v>155</v>
      </c>
      <c r="E159" s="24" t="s">
        <v>156</v>
      </c>
      <c r="F159" s="24" t="s">
        <v>626</v>
      </c>
      <c r="G159" s="24" t="s">
        <v>466</v>
      </c>
      <c r="H159" s="25">
        <v>1015.598</v>
      </c>
      <c r="I159" s="25">
        <v>0</v>
      </c>
    </row>
    <row r="160" spans="1:9" s="15" customFormat="1" ht="12.75" customHeight="1">
      <c r="A160" s="106" t="s">
        <v>208</v>
      </c>
      <c r="B160" s="82"/>
      <c r="C160" s="82" t="s">
        <v>57</v>
      </c>
      <c r="D160" s="23"/>
      <c r="E160" s="23"/>
      <c r="F160" s="23"/>
      <c r="G160" s="23"/>
      <c r="H160" s="105">
        <f>H161</f>
        <v>22236.779319999998</v>
      </c>
      <c r="I160" s="105">
        <f>I161</f>
        <v>22227.912360000002</v>
      </c>
    </row>
    <row r="161" spans="1:9" s="15" customFormat="1" ht="24.6" customHeight="1">
      <c r="A161" s="106"/>
      <c r="B161" s="82"/>
      <c r="C161" s="109" t="s">
        <v>153</v>
      </c>
      <c r="D161" s="23"/>
      <c r="E161" s="23"/>
      <c r="F161" s="23"/>
      <c r="G161" s="23"/>
      <c r="H161" s="25">
        <f>SUM(H162:H179)</f>
        <v>22236.779319999998</v>
      </c>
      <c r="I161" s="25">
        <f>SUM(I162:I179)</f>
        <v>22227.912360000002</v>
      </c>
    </row>
    <row r="162" spans="1:9" s="15" customFormat="1" ht="57.6" customHeight="1">
      <c r="A162" s="106"/>
      <c r="B162" s="82" t="s">
        <v>30</v>
      </c>
      <c r="C162" s="110"/>
      <c r="D162" s="23" t="s">
        <v>155</v>
      </c>
      <c r="E162" s="24" t="s">
        <v>64</v>
      </c>
      <c r="F162" s="24" t="s">
        <v>209</v>
      </c>
      <c r="G162" s="24" t="s">
        <v>570</v>
      </c>
      <c r="H162" s="25">
        <f>412.653+568.405</f>
        <v>981.05799999999999</v>
      </c>
      <c r="I162" s="25">
        <f>412.653+568.405</f>
        <v>981.05799999999999</v>
      </c>
    </row>
    <row r="163" spans="1:9" s="15" customFormat="1" ht="56.4" customHeight="1">
      <c r="A163" s="106"/>
      <c r="B163" s="82" t="s">
        <v>30</v>
      </c>
      <c r="C163" s="110"/>
      <c r="D163" s="23" t="s">
        <v>155</v>
      </c>
      <c r="E163" s="24" t="s">
        <v>64</v>
      </c>
      <c r="F163" s="24" t="s">
        <v>210</v>
      </c>
      <c r="G163" s="24" t="s">
        <v>63</v>
      </c>
      <c r="H163" s="25"/>
      <c r="I163" s="25"/>
    </row>
    <row r="164" spans="1:9" s="15" customFormat="1" ht="69" customHeight="1">
      <c r="A164" s="106"/>
      <c r="B164" s="82" t="s">
        <v>66</v>
      </c>
      <c r="C164" s="110"/>
      <c r="D164" s="23" t="s">
        <v>155</v>
      </c>
      <c r="E164" s="24" t="s">
        <v>64</v>
      </c>
      <c r="F164" s="24" t="s">
        <v>211</v>
      </c>
      <c r="G164" s="24" t="s">
        <v>570</v>
      </c>
      <c r="H164" s="25">
        <v>238.761</v>
      </c>
      <c r="I164" s="25">
        <v>238.761</v>
      </c>
    </row>
    <row r="165" spans="1:9" s="15" customFormat="1" ht="42.6" customHeight="1">
      <c r="A165" s="106"/>
      <c r="B165" s="82" t="s">
        <v>212</v>
      </c>
      <c r="C165" s="110"/>
      <c r="D165" s="23" t="s">
        <v>155</v>
      </c>
      <c r="E165" s="24" t="s">
        <v>64</v>
      </c>
      <c r="F165" s="24" t="s">
        <v>213</v>
      </c>
      <c r="G165" s="24" t="s">
        <v>63</v>
      </c>
      <c r="H165" s="25"/>
      <c r="I165" s="25"/>
    </row>
    <row r="166" spans="1:9" s="15" customFormat="1" ht="54.6" customHeight="1">
      <c r="A166" s="106"/>
      <c r="B166" s="82" t="s">
        <v>214</v>
      </c>
      <c r="C166" s="110"/>
      <c r="D166" s="23" t="s">
        <v>155</v>
      </c>
      <c r="E166" s="24" t="s">
        <v>156</v>
      </c>
      <c r="F166" s="24" t="s">
        <v>215</v>
      </c>
      <c r="G166" s="24" t="s">
        <v>63</v>
      </c>
      <c r="H166" s="25"/>
      <c r="I166" s="25"/>
    </row>
    <row r="167" spans="1:9" s="15" customFormat="1" ht="27" customHeight="1">
      <c r="A167" s="106"/>
      <c r="B167" s="82" t="s">
        <v>40</v>
      </c>
      <c r="C167" s="110"/>
      <c r="D167" s="23" t="s">
        <v>155</v>
      </c>
      <c r="E167" s="24" t="s">
        <v>64</v>
      </c>
      <c r="F167" s="24" t="s">
        <v>216</v>
      </c>
      <c r="G167" s="24" t="s">
        <v>570</v>
      </c>
      <c r="H167" s="25">
        <v>20711.949000000001</v>
      </c>
      <c r="I167" s="25">
        <v>20711.949000000001</v>
      </c>
    </row>
    <row r="168" spans="1:9" s="15" customFormat="1" ht="30" customHeight="1">
      <c r="A168" s="106"/>
      <c r="B168" s="82" t="s">
        <v>39</v>
      </c>
      <c r="C168" s="110"/>
      <c r="D168" s="23" t="s">
        <v>155</v>
      </c>
      <c r="E168" s="24" t="s">
        <v>64</v>
      </c>
      <c r="F168" s="24" t="s">
        <v>217</v>
      </c>
      <c r="G168" s="24" t="s">
        <v>573</v>
      </c>
      <c r="H168" s="25">
        <v>162.65799999999999</v>
      </c>
      <c r="I168" s="25">
        <v>162.65799999999999</v>
      </c>
    </row>
    <row r="169" spans="1:9" s="15" customFormat="1" ht="26.4">
      <c r="A169" s="106"/>
      <c r="B169" s="82" t="s">
        <v>198</v>
      </c>
      <c r="C169" s="110"/>
      <c r="D169" s="23" t="s">
        <v>155</v>
      </c>
      <c r="E169" s="24" t="s">
        <v>75</v>
      </c>
      <c r="F169" s="24" t="s">
        <v>630</v>
      </c>
      <c r="G169" s="24" t="s">
        <v>573</v>
      </c>
      <c r="H169" s="25">
        <v>1</v>
      </c>
      <c r="I169" s="25">
        <v>1</v>
      </c>
    </row>
    <row r="170" spans="1:9" s="15" customFormat="1" ht="13.2">
      <c r="A170" s="106"/>
      <c r="B170" s="82" t="s">
        <v>218</v>
      </c>
      <c r="C170" s="110"/>
      <c r="D170" s="23" t="s">
        <v>155</v>
      </c>
      <c r="E170" s="24" t="s">
        <v>75</v>
      </c>
      <c r="F170" s="24" t="s">
        <v>219</v>
      </c>
      <c r="G170" s="24" t="s">
        <v>63</v>
      </c>
      <c r="H170" s="25"/>
      <c r="I170" s="25"/>
    </row>
    <row r="171" spans="1:9" s="15" customFormat="1" ht="26.4" customHeight="1">
      <c r="A171" s="106"/>
      <c r="B171" s="82" t="s">
        <v>220</v>
      </c>
      <c r="C171" s="110"/>
      <c r="D171" s="23" t="s">
        <v>155</v>
      </c>
      <c r="E171" s="24" t="s">
        <v>75</v>
      </c>
      <c r="F171" s="24" t="s">
        <v>221</v>
      </c>
      <c r="G171" s="24" t="s">
        <v>63</v>
      </c>
      <c r="H171" s="25"/>
      <c r="I171" s="25"/>
    </row>
    <row r="172" spans="1:9" s="15" customFormat="1" ht="27.6" customHeight="1">
      <c r="A172" s="106"/>
      <c r="B172" s="82" t="s">
        <v>222</v>
      </c>
      <c r="C172" s="110"/>
      <c r="D172" s="23" t="s">
        <v>155</v>
      </c>
      <c r="E172" s="24" t="s">
        <v>75</v>
      </c>
      <c r="F172" s="24" t="s">
        <v>223</v>
      </c>
      <c r="G172" s="24" t="s">
        <v>573</v>
      </c>
      <c r="H172" s="25">
        <v>6</v>
      </c>
      <c r="I172" s="25">
        <v>6</v>
      </c>
    </row>
    <row r="173" spans="1:9" s="15" customFormat="1" ht="28.8" customHeight="1">
      <c r="A173" s="106"/>
      <c r="B173" s="82" t="s">
        <v>224</v>
      </c>
      <c r="C173" s="110"/>
      <c r="D173" s="23" t="s">
        <v>155</v>
      </c>
      <c r="E173" s="24" t="s">
        <v>75</v>
      </c>
      <c r="F173" s="24" t="s">
        <v>225</v>
      </c>
      <c r="G173" s="24" t="s">
        <v>573</v>
      </c>
      <c r="H173" s="25">
        <v>10</v>
      </c>
      <c r="I173" s="25">
        <v>10</v>
      </c>
    </row>
    <row r="174" spans="1:9" s="15" customFormat="1" ht="14.4" customHeight="1">
      <c r="A174" s="106"/>
      <c r="B174" s="82" t="s">
        <v>170</v>
      </c>
      <c r="C174" s="110"/>
      <c r="D174" s="23" t="s">
        <v>155</v>
      </c>
      <c r="E174" s="24" t="s">
        <v>64</v>
      </c>
      <c r="F174" s="24" t="s">
        <v>226</v>
      </c>
      <c r="G174" s="24" t="s">
        <v>573</v>
      </c>
      <c r="H174" s="25">
        <v>15.45</v>
      </c>
      <c r="I174" s="25">
        <v>10.936999999999999</v>
      </c>
    </row>
    <row r="175" spans="1:9" s="15" customFormat="1" ht="25.8" customHeight="1">
      <c r="A175" s="106"/>
      <c r="B175" s="82" t="s">
        <v>227</v>
      </c>
      <c r="C175" s="110"/>
      <c r="D175" s="23" t="s">
        <v>155</v>
      </c>
      <c r="E175" s="24" t="s">
        <v>64</v>
      </c>
      <c r="F175" s="24" t="s">
        <v>228</v>
      </c>
      <c r="G175" s="24" t="s">
        <v>573</v>
      </c>
      <c r="H175" s="25">
        <v>105.55</v>
      </c>
      <c r="I175" s="25">
        <v>105.54935999999999</v>
      </c>
    </row>
    <row r="176" spans="1:9" s="15" customFormat="1" ht="13.2">
      <c r="A176" s="106"/>
      <c r="B176" s="82" t="s">
        <v>229</v>
      </c>
      <c r="C176" s="110"/>
      <c r="D176" s="23" t="s">
        <v>155</v>
      </c>
      <c r="E176" s="24" t="s">
        <v>64</v>
      </c>
      <c r="F176" s="24" t="s">
        <v>230</v>
      </c>
      <c r="G176" s="24" t="s">
        <v>63</v>
      </c>
      <c r="H176" s="25"/>
      <c r="I176" s="25"/>
    </row>
    <row r="177" spans="1:9" s="15" customFormat="1" ht="67.2" customHeight="1">
      <c r="A177" s="106"/>
      <c r="B177" s="82" t="s">
        <v>585</v>
      </c>
      <c r="C177" s="110"/>
      <c r="D177" s="23" t="s">
        <v>155</v>
      </c>
      <c r="E177" s="24" t="s">
        <v>64</v>
      </c>
      <c r="F177" s="24" t="s">
        <v>631</v>
      </c>
      <c r="G177" s="24" t="s">
        <v>573</v>
      </c>
      <c r="H177" s="25">
        <v>4.3533200000000001</v>
      </c>
      <c r="I177" s="25">
        <v>0</v>
      </c>
    </row>
    <row r="178" spans="1:9" s="15" customFormat="1" ht="67.8" customHeight="1">
      <c r="A178" s="106"/>
      <c r="B178" s="82" t="s">
        <v>231</v>
      </c>
      <c r="C178" s="110"/>
      <c r="D178" s="23" t="s">
        <v>155</v>
      </c>
      <c r="E178" s="24" t="s">
        <v>64</v>
      </c>
      <c r="F178" s="24" t="s">
        <v>232</v>
      </c>
      <c r="G178" s="24" t="s">
        <v>63</v>
      </c>
      <c r="H178" s="25"/>
      <c r="I178" s="25"/>
    </row>
    <row r="179" spans="1:9" s="15" customFormat="1" ht="42" customHeight="1">
      <c r="A179" s="106"/>
      <c r="B179" s="82" t="s">
        <v>233</v>
      </c>
      <c r="C179" s="111"/>
      <c r="D179" s="23" t="s">
        <v>155</v>
      </c>
      <c r="E179" s="24" t="s">
        <v>64</v>
      </c>
      <c r="F179" s="24" t="s">
        <v>234</v>
      </c>
      <c r="G179" s="24" t="s">
        <v>63</v>
      </c>
      <c r="H179" s="25"/>
      <c r="I179" s="25"/>
    </row>
    <row r="180" spans="1:9" s="15" customFormat="1" ht="12.75" customHeight="1">
      <c r="A180" s="106" t="s">
        <v>235</v>
      </c>
      <c r="B180" s="82"/>
      <c r="C180" s="82" t="s">
        <v>57</v>
      </c>
      <c r="D180" s="23"/>
      <c r="E180" s="23"/>
      <c r="F180" s="23"/>
      <c r="G180" s="23"/>
      <c r="H180" s="105">
        <f>H181</f>
        <v>7263.3241900000012</v>
      </c>
      <c r="I180" s="105">
        <f>I181</f>
        <v>7211.1517229999999</v>
      </c>
    </row>
    <row r="181" spans="1:9" s="15" customFormat="1" ht="25.8" customHeight="1">
      <c r="A181" s="106"/>
      <c r="B181" s="82"/>
      <c r="C181" s="109" t="s">
        <v>153</v>
      </c>
      <c r="D181" s="23"/>
      <c r="E181" s="23"/>
      <c r="F181" s="23"/>
      <c r="G181" s="23"/>
      <c r="H181" s="25">
        <f>SUM(H182:H196)</f>
        <v>7263.3241900000012</v>
      </c>
      <c r="I181" s="25">
        <f>SUM(I182:I196)</f>
        <v>7211.1517229999999</v>
      </c>
    </row>
    <row r="182" spans="1:9" s="15" customFormat="1" ht="42.6" customHeight="1">
      <c r="A182" s="106"/>
      <c r="B182" s="82" t="s">
        <v>236</v>
      </c>
      <c r="C182" s="110"/>
      <c r="D182" s="23" t="s">
        <v>155</v>
      </c>
      <c r="E182" s="24" t="s">
        <v>237</v>
      </c>
      <c r="F182" s="24" t="s">
        <v>238</v>
      </c>
      <c r="G182" s="24" t="s">
        <v>141</v>
      </c>
      <c r="H182" s="25"/>
      <c r="I182" s="25"/>
    </row>
    <row r="183" spans="1:9" s="15" customFormat="1" ht="42.6" customHeight="1">
      <c r="A183" s="106"/>
      <c r="B183" s="82" t="s">
        <v>239</v>
      </c>
      <c r="C183" s="110"/>
      <c r="D183" s="23" t="s">
        <v>155</v>
      </c>
      <c r="E183" s="24" t="s">
        <v>237</v>
      </c>
      <c r="F183" s="24" t="s">
        <v>240</v>
      </c>
      <c r="G183" s="24" t="s">
        <v>141</v>
      </c>
      <c r="H183" s="25"/>
      <c r="I183" s="25"/>
    </row>
    <row r="184" spans="1:9" s="15" customFormat="1" ht="40.5" customHeight="1">
      <c r="A184" s="106"/>
      <c r="B184" s="109" t="s">
        <v>241</v>
      </c>
      <c r="C184" s="110"/>
      <c r="D184" s="23" t="s">
        <v>155</v>
      </c>
      <c r="E184" s="24" t="s">
        <v>237</v>
      </c>
      <c r="F184" s="24" t="s">
        <v>242</v>
      </c>
      <c r="G184" s="24" t="s">
        <v>632</v>
      </c>
      <c r="H184" s="25">
        <v>20.259</v>
      </c>
      <c r="I184" s="25">
        <v>20.259</v>
      </c>
    </row>
    <row r="185" spans="1:9" s="15" customFormat="1" ht="14.4" customHeight="1">
      <c r="A185" s="106"/>
      <c r="B185" s="111"/>
      <c r="C185" s="110"/>
      <c r="D185" s="23" t="s">
        <v>155</v>
      </c>
      <c r="E185" s="24" t="s">
        <v>237</v>
      </c>
      <c r="F185" s="24" t="s">
        <v>242</v>
      </c>
      <c r="G185" s="24" t="s">
        <v>141</v>
      </c>
      <c r="H185" s="25"/>
      <c r="I185" s="25"/>
    </row>
    <row r="186" spans="1:9" s="15" customFormat="1" ht="28.5" customHeight="1">
      <c r="A186" s="106"/>
      <c r="B186" s="109" t="s">
        <v>41</v>
      </c>
      <c r="C186" s="110"/>
      <c r="D186" s="23" t="s">
        <v>155</v>
      </c>
      <c r="E186" s="24" t="s">
        <v>186</v>
      </c>
      <c r="F186" s="24" t="s">
        <v>243</v>
      </c>
      <c r="G186" s="24" t="s">
        <v>594</v>
      </c>
      <c r="H186" s="25">
        <f>1625.951+87.916</f>
        <v>1713.867</v>
      </c>
      <c r="I186" s="25">
        <f>1625.94924+86.096</f>
        <v>1712.0452399999999</v>
      </c>
    </row>
    <row r="187" spans="1:9" s="15" customFormat="1" ht="28.5" customHeight="1">
      <c r="A187" s="106"/>
      <c r="B187" s="110"/>
      <c r="C187" s="110"/>
      <c r="D187" s="23" t="s">
        <v>155</v>
      </c>
      <c r="E187" s="24" t="s">
        <v>186</v>
      </c>
      <c r="F187" s="24" t="s">
        <v>243</v>
      </c>
      <c r="G187" s="24" t="s">
        <v>584</v>
      </c>
      <c r="H187" s="25">
        <v>58.987189999999998</v>
      </c>
      <c r="I187" s="25">
        <v>53.823999999999998</v>
      </c>
    </row>
    <row r="188" spans="1:9" s="15" customFormat="1" ht="28.5" customHeight="1">
      <c r="A188" s="106"/>
      <c r="B188" s="111"/>
      <c r="C188" s="110"/>
      <c r="D188" s="23" t="s">
        <v>155</v>
      </c>
      <c r="E188" s="24" t="s">
        <v>186</v>
      </c>
      <c r="F188" s="24" t="s">
        <v>243</v>
      </c>
      <c r="G188" s="24" t="s">
        <v>633</v>
      </c>
      <c r="H188" s="25">
        <v>3.4000000000000002E-2</v>
      </c>
      <c r="I188" s="25">
        <v>3.3329999999999999E-2</v>
      </c>
    </row>
    <row r="189" spans="1:9" s="15" customFormat="1" ht="24" customHeight="1">
      <c r="A189" s="106"/>
      <c r="B189" s="109" t="s">
        <v>40</v>
      </c>
      <c r="C189" s="110"/>
      <c r="D189" s="23" t="s">
        <v>155</v>
      </c>
      <c r="E189" s="24" t="s">
        <v>156</v>
      </c>
      <c r="F189" s="24" t="s">
        <v>244</v>
      </c>
      <c r="G189" s="56" t="s">
        <v>634</v>
      </c>
      <c r="H189" s="25">
        <f>1319.247+59.5+25.2</f>
        <v>1403.9470000000001</v>
      </c>
      <c r="I189" s="25">
        <f>1319.24628+56.1+21.3534</f>
        <v>1396.6996799999999</v>
      </c>
    </row>
    <row r="190" spans="1:9" s="15" customFormat="1" ht="12.75" customHeight="1">
      <c r="A190" s="106"/>
      <c r="B190" s="110"/>
      <c r="C190" s="110"/>
      <c r="D190" s="23" t="s">
        <v>155</v>
      </c>
      <c r="E190" s="24" t="s">
        <v>156</v>
      </c>
      <c r="F190" s="24" t="s">
        <v>244</v>
      </c>
      <c r="G190" s="24" t="s">
        <v>584</v>
      </c>
      <c r="H190" s="25">
        <v>1437.3610000000001</v>
      </c>
      <c r="I190" s="25">
        <v>1410.72354</v>
      </c>
    </row>
    <row r="191" spans="1:9" s="15" customFormat="1" ht="12.75" customHeight="1">
      <c r="A191" s="106"/>
      <c r="B191" s="110"/>
      <c r="C191" s="110"/>
      <c r="D191" s="23" t="s">
        <v>155</v>
      </c>
      <c r="E191" s="24" t="s">
        <v>156</v>
      </c>
      <c r="F191" s="24" t="s">
        <v>244</v>
      </c>
      <c r="G191" s="24" t="s">
        <v>633</v>
      </c>
      <c r="H191" s="25">
        <v>3.4000000000000002E-2</v>
      </c>
      <c r="I191" s="25">
        <v>3.3333000000000002E-2</v>
      </c>
    </row>
    <row r="192" spans="1:9" s="15" customFormat="1" ht="12.75" customHeight="1">
      <c r="A192" s="106"/>
      <c r="B192" s="110"/>
      <c r="C192" s="110"/>
      <c r="D192" s="23" t="s">
        <v>155</v>
      </c>
      <c r="E192" s="24" t="s">
        <v>186</v>
      </c>
      <c r="F192" s="24" t="s">
        <v>244</v>
      </c>
      <c r="G192" s="24" t="s">
        <v>599</v>
      </c>
      <c r="H192" s="25">
        <f>2214.155+28</f>
        <v>2242.1550000000002</v>
      </c>
      <c r="I192" s="25">
        <f>2214.1549+26.15502</f>
        <v>2240.3099200000001</v>
      </c>
    </row>
    <row r="193" spans="1:9" s="15" customFormat="1" ht="13.2">
      <c r="A193" s="106"/>
      <c r="B193" s="110"/>
      <c r="C193" s="110"/>
      <c r="D193" s="23" t="s">
        <v>155</v>
      </c>
      <c r="E193" s="24" t="s">
        <v>186</v>
      </c>
      <c r="F193" s="24" t="s">
        <v>244</v>
      </c>
      <c r="G193" s="24" t="s">
        <v>584</v>
      </c>
      <c r="H193" s="25">
        <v>386.58</v>
      </c>
      <c r="I193" s="25">
        <v>377.12367999999998</v>
      </c>
    </row>
    <row r="194" spans="1:9" s="15" customFormat="1" ht="13.2">
      <c r="A194" s="106"/>
      <c r="B194" s="111"/>
      <c r="C194" s="110"/>
      <c r="D194" s="23" t="s">
        <v>155</v>
      </c>
      <c r="E194" s="24" t="s">
        <v>186</v>
      </c>
      <c r="F194" s="24" t="s">
        <v>244</v>
      </c>
      <c r="G194" s="24" t="s">
        <v>633</v>
      </c>
      <c r="H194" s="25">
        <v>0.1</v>
      </c>
      <c r="I194" s="25">
        <v>0.1</v>
      </c>
    </row>
    <row r="195" spans="1:9" s="15" customFormat="1" ht="42.6" customHeight="1">
      <c r="A195" s="106"/>
      <c r="B195" s="82" t="s">
        <v>245</v>
      </c>
      <c r="C195" s="110"/>
      <c r="D195" s="23" t="s">
        <v>155</v>
      </c>
      <c r="E195" s="24" t="s">
        <v>186</v>
      </c>
      <c r="F195" s="24" t="s">
        <v>246</v>
      </c>
      <c r="G195" s="24" t="s">
        <v>141</v>
      </c>
      <c r="H195" s="25"/>
      <c r="I195" s="25"/>
    </row>
    <row r="196" spans="1:9" s="15" customFormat="1" ht="27.6" customHeight="1">
      <c r="A196" s="106"/>
      <c r="B196" s="82" t="s">
        <v>247</v>
      </c>
      <c r="C196" s="110"/>
      <c r="D196" s="23" t="s">
        <v>155</v>
      </c>
      <c r="E196" s="24" t="s">
        <v>186</v>
      </c>
      <c r="F196" s="24" t="s">
        <v>248</v>
      </c>
      <c r="G196" s="24" t="s">
        <v>141</v>
      </c>
      <c r="H196" s="25"/>
      <c r="I196" s="25"/>
    </row>
    <row r="197" spans="1:9" s="93" customFormat="1" ht="21" customHeight="1">
      <c r="A197" s="168" t="s">
        <v>249</v>
      </c>
      <c r="B197" s="171"/>
      <c r="C197" s="90" t="s">
        <v>57</v>
      </c>
      <c r="D197" s="91"/>
      <c r="E197" s="91"/>
      <c r="F197" s="91"/>
      <c r="G197" s="91"/>
      <c r="H197" s="92">
        <f>H199+H200+H201</f>
        <v>66693.689689999999</v>
      </c>
      <c r="I197" s="92">
        <f t="shared" ref="I197" si="2">I199+I200+I201</f>
        <v>66558.378750000003</v>
      </c>
    </row>
    <row r="198" spans="1:9" s="93" customFormat="1" ht="20.399999999999999" customHeight="1">
      <c r="A198" s="169"/>
      <c r="B198" s="171"/>
      <c r="C198" s="90" t="s">
        <v>250</v>
      </c>
      <c r="D198" s="91"/>
      <c r="E198" s="91"/>
      <c r="F198" s="91"/>
      <c r="G198" s="91"/>
      <c r="H198" s="94"/>
      <c r="I198" s="94"/>
    </row>
    <row r="199" spans="1:9" s="93" customFormat="1" ht="42.6" customHeight="1">
      <c r="A199" s="169"/>
      <c r="B199" s="171"/>
      <c r="C199" s="90" t="s">
        <v>251</v>
      </c>
      <c r="D199" s="95" t="s">
        <v>252</v>
      </c>
      <c r="E199" s="91"/>
      <c r="F199" s="91"/>
      <c r="G199" s="91"/>
      <c r="H199" s="94">
        <f>H253+H257+H263</f>
        <v>65477.089690000001</v>
      </c>
      <c r="I199" s="94">
        <f t="shared" ref="I199" si="3">I253+I257+I263</f>
        <v>65385.049750000006</v>
      </c>
    </row>
    <row r="200" spans="1:9" s="93" customFormat="1" ht="42.75" customHeight="1">
      <c r="A200" s="169"/>
      <c r="B200" s="171"/>
      <c r="C200" s="90" t="s">
        <v>132</v>
      </c>
      <c r="D200" s="95" t="s">
        <v>59</v>
      </c>
      <c r="E200" s="91"/>
      <c r="F200" s="91"/>
      <c r="G200" s="91"/>
      <c r="H200" s="94">
        <f>H272</f>
        <v>192.1</v>
      </c>
      <c r="I200" s="94">
        <f t="shared" ref="I200:I201" si="4">I272</f>
        <v>148.904</v>
      </c>
    </row>
    <row r="201" spans="1:9" s="93" customFormat="1" ht="31.2" customHeight="1">
      <c r="A201" s="170"/>
      <c r="B201" s="171"/>
      <c r="C201" s="90" t="s">
        <v>457</v>
      </c>
      <c r="D201" s="95" t="s">
        <v>155</v>
      </c>
      <c r="E201" s="91"/>
      <c r="F201" s="91"/>
      <c r="G201" s="91"/>
      <c r="H201" s="94">
        <f>H273</f>
        <v>1024.5</v>
      </c>
      <c r="I201" s="94">
        <f t="shared" si="4"/>
        <v>1024.425</v>
      </c>
    </row>
    <row r="202" spans="1:9" s="93" customFormat="1" ht="22.5" customHeight="1">
      <c r="A202" s="148" t="s">
        <v>708</v>
      </c>
      <c r="B202" s="149"/>
      <c r="C202" s="96"/>
      <c r="D202" s="97"/>
      <c r="E202" s="98"/>
      <c r="F202" s="98"/>
      <c r="G202" s="98"/>
      <c r="H202" s="99"/>
      <c r="I202" s="99"/>
    </row>
    <row r="203" spans="1:9" s="15" customFormat="1" ht="19.8" customHeight="1">
      <c r="A203" s="106" t="s">
        <v>253</v>
      </c>
      <c r="B203" s="82"/>
      <c r="C203" s="82" t="s">
        <v>57</v>
      </c>
      <c r="D203" s="23"/>
      <c r="E203" s="24"/>
      <c r="F203" s="24"/>
      <c r="G203" s="24"/>
      <c r="H203" s="25"/>
      <c r="I203" s="25"/>
    </row>
    <row r="204" spans="1:9" s="15" customFormat="1" ht="45" customHeight="1">
      <c r="A204" s="106"/>
      <c r="B204" s="82"/>
      <c r="C204" s="109" t="s">
        <v>254</v>
      </c>
      <c r="D204" s="23" t="s">
        <v>252</v>
      </c>
      <c r="E204" s="24"/>
      <c r="F204" s="24"/>
      <c r="G204" s="24"/>
      <c r="H204" s="25"/>
      <c r="I204" s="25"/>
    </row>
    <row r="205" spans="1:9" s="15" customFormat="1" ht="108" customHeight="1">
      <c r="A205" s="106"/>
      <c r="B205" s="82" t="s">
        <v>255</v>
      </c>
      <c r="C205" s="110"/>
      <c r="D205" s="23" t="s">
        <v>252</v>
      </c>
      <c r="E205" s="24" t="s">
        <v>78</v>
      </c>
      <c r="F205" s="24" t="s">
        <v>256</v>
      </c>
      <c r="G205" s="24" t="s">
        <v>257</v>
      </c>
      <c r="H205" s="25"/>
      <c r="I205" s="25"/>
    </row>
    <row r="206" spans="1:9" s="15" customFormat="1" ht="66.599999999999994" customHeight="1">
      <c r="A206" s="106"/>
      <c r="B206" s="82" t="s">
        <v>258</v>
      </c>
      <c r="C206" s="110"/>
      <c r="D206" s="23" t="s">
        <v>252</v>
      </c>
      <c r="E206" s="24" t="s">
        <v>78</v>
      </c>
      <c r="F206" s="24" t="s">
        <v>259</v>
      </c>
      <c r="G206" s="24" t="s">
        <v>257</v>
      </c>
      <c r="H206" s="25"/>
      <c r="I206" s="25"/>
    </row>
    <row r="207" spans="1:9" s="15" customFormat="1" ht="109.2" customHeight="1">
      <c r="A207" s="106"/>
      <c r="B207" s="82" t="s">
        <v>260</v>
      </c>
      <c r="C207" s="110"/>
      <c r="D207" s="23" t="s">
        <v>252</v>
      </c>
      <c r="E207" s="24" t="s">
        <v>78</v>
      </c>
      <c r="F207" s="24" t="s">
        <v>261</v>
      </c>
      <c r="G207" s="24" t="s">
        <v>257</v>
      </c>
      <c r="H207" s="25"/>
      <c r="I207" s="25"/>
    </row>
    <row r="208" spans="1:9" s="15" customFormat="1" ht="319.2" customHeight="1">
      <c r="A208" s="106"/>
      <c r="B208" s="82" t="s">
        <v>262</v>
      </c>
      <c r="C208" s="110"/>
      <c r="D208" s="23" t="s">
        <v>252</v>
      </c>
      <c r="E208" s="24" t="s">
        <v>78</v>
      </c>
      <c r="F208" s="24" t="s">
        <v>263</v>
      </c>
      <c r="G208" s="24" t="s">
        <v>257</v>
      </c>
      <c r="H208" s="25"/>
      <c r="I208" s="25"/>
    </row>
    <row r="209" spans="1:9" s="15" customFormat="1" ht="92.4">
      <c r="A209" s="106"/>
      <c r="B209" s="82" t="s">
        <v>264</v>
      </c>
      <c r="C209" s="110"/>
      <c r="D209" s="23" t="s">
        <v>252</v>
      </c>
      <c r="E209" s="24" t="s">
        <v>78</v>
      </c>
      <c r="F209" s="24" t="s">
        <v>265</v>
      </c>
      <c r="G209" s="24" t="s">
        <v>257</v>
      </c>
      <c r="H209" s="25"/>
      <c r="I209" s="25"/>
    </row>
    <row r="210" spans="1:9" s="15" customFormat="1" ht="92.4">
      <c r="A210" s="106"/>
      <c r="B210" s="82" t="s">
        <v>266</v>
      </c>
      <c r="C210" s="110"/>
      <c r="D210" s="23" t="s">
        <v>252</v>
      </c>
      <c r="E210" s="24" t="s">
        <v>78</v>
      </c>
      <c r="F210" s="24" t="s">
        <v>267</v>
      </c>
      <c r="G210" s="24" t="s">
        <v>257</v>
      </c>
      <c r="H210" s="25"/>
      <c r="I210" s="25"/>
    </row>
    <row r="211" spans="1:9" s="15" customFormat="1" ht="70.2" customHeight="1">
      <c r="A211" s="106"/>
      <c r="B211" s="82" t="s">
        <v>268</v>
      </c>
      <c r="C211" s="110"/>
      <c r="D211" s="23" t="s">
        <v>252</v>
      </c>
      <c r="E211" s="24" t="s">
        <v>78</v>
      </c>
      <c r="F211" s="24" t="s">
        <v>269</v>
      </c>
      <c r="G211" s="24" t="s">
        <v>257</v>
      </c>
      <c r="H211" s="25"/>
      <c r="I211" s="25"/>
    </row>
    <row r="212" spans="1:9" s="15" customFormat="1" ht="145.80000000000001" customHeight="1">
      <c r="A212" s="106"/>
      <c r="B212" s="82" t="s">
        <v>270</v>
      </c>
      <c r="C212" s="110"/>
      <c r="D212" s="23" t="s">
        <v>252</v>
      </c>
      <c r="E212" s="24" t="s">
        <v>271</v>
      </c>
      <c r="F212" s="24" t="s">
        <v>272</v>
      </c>
      <c r="G212" s="24" t="s">
        <v>63</v>
      </c>
      <c r="H212" s="25"/>
      <c r="I212" s="25"/>
    </row>
    <row r="213" spans="1:9" s="15" customFormat="1" ht="94.8" customHeight="1">
      <c r="A213" s="106"/>
      <c r="B213" s="82" t="s">
        <v>273</v>
      </c>
      <c r="C213" s="110"/>
      <c r="D213" s="23" t="s">
        <v>252</v>
      </c>
      <c r="E213" s="24" t="s">
        <v>78</v>
      </c>
      <c r="F213" s="24" t="s">
        <v>274</v>
      </c>
      <c r="G213" s="24" t="s">
        <v>257</v>
      </c>
      <c r="H213" s="25"/>
      <c r="I213" s="25"/>
    </row>
    <row r="214" spans="1:9" s="15" customFormat="1" ht="65.400000000000006" customHeight="1">
      <c r="A214" s="106"/>
      <c r="B214" s="82" t="s">
        <v>275</v>
      </c>
      <c r="C214" s="110"/>
      <c r="D214" s="23" t="s">
        <v>252</v>
      </c>
      <c r="E214" s="24" t="s">
        <v>78</v>
      </c>
      <c r="F214" s="24" t="s">
        <v>276</v>
      </c>
      <c r="G214" s="24" t="s">
        <v>257</v>
      </c>
      <c r="H214" s="25"/>
      <c r="I214" s="25"/>
    </row>
    <row r="215" spans="1:9" s="15" customFormat="1" ht="265.8" customHeight="1">
      <c r="A215" s="106"/>
      <c r="B215" s="82" t="s">
        <v>277</v>
      </c>
      <c r="C215" s="110"/>
      <c r="D215" s="23" t="s">
        <v>252</v>
      </c>
      <c r="E215" s="24" t="s">
        <v>78</v>
      </c>
      <c r="F215" s="24" t="s">
        <v>278</v>
      </c>
      <c r="G215" s="24" t="s">
        <v>257</v>
      </c>
      <c r="H215" s="25"/>
      <c r="I215" s="25"/>
    </row>
    <row r="216" spans="1:9" s="15" customFormat="1" ht="41.4" customHeight="1">
      <c r="A216" s="106"/>
      <c r="B216" s="82" t="s">
        <v>279</v>
      </c>
      <c r="C216" s="110"/>
      <c r="D216" s="23" t="s">
        <v>252</v>
      </c>
      <c r="E216" s="24" t="s">
        <v>271</v>
      </c>
      <c r="F216" s="24" t="s">
        <v>280</v>
      </c>
      <c r="G216" s="24" t="s">
        <v>63</v>
      </c>
      <c r="H216" s="25"/>
      <c r="I216" s="25"/>
    </row>
    <row r="217" spans="1:9" s="15" customFormat="1" ht="30" customHeight="1">
      <c r="A217" s="106"/>
      <c r="B217" s="82" t="s">
        <v>281</v>
      </c>
      <c r="C217" s="110"/>
      <c r="D217" s="23" t="s">
        <v>252</v>
      </c>
      <c r="E217" s="24" t="s">
        <v>78</v>
      </c>
      <c r="F217" s="24" t="s">
        <v>282</v>
      </c>
      <c r="G217" s="24" t="s">
        <v>257</v>
      </c>
      <c r="H217" s="25"/>
      <c r="I217" s="25"/>
    </row>
    <row r="218" spans="1:9" s="15" customFormat="1" ht="29.4" customHeight="1">
      <c r="A218" s="106"/>
      <c r="B218" s="82" t="s">
        <v>283</v>
      </c>
      <c r="C218" s="110"/>
      <c r="D218" s="23" t="s">
        <v>252</v>
      </c>
      <c r="E218" s="24" t="s">
        <v>78</v>
      </c>
      <c r="F218" s="24" t="s">
        <v>284</v>
      </c>
      <c r="G218" s="24" t="s">
        <v>257</v>
      </c>
      <c r="H218" s="25"/>
      <c r="I218" s="25"/>
    </row>
    <row r="219" spans="1:9" s="15" customFormat="1" ht="54" customHeight="1">
      <c r="A219" s="106"/>
      <c r="B219" s="82" t="s">
        <v>285</v>
      </c>
      <c r="C219" s="110"/>
      <c r="D219" s="23" t="s">
        <v>252</v>
      </c>
      <c r="E219" s="24" t="s">
        <v>78</v>
      </c>
      <c r="F219" s="24" t="s">
        <v>286</v>
      </c>
      <c r="G219" s="24" t="s">
        <v>257</v>
      </c>
      <c r="H219" s="25"/>
      <c r="I219" s="25"/>
    </row>
    <row r="220" spans="1:9" s="15" customFormat="1" ht="19.8" customHeight="1">
      <c r="A220" s="106"/>
      <c r="B220" s="82" t="s">
        <v>287</v>
      </c>
      <c r="C220" s="110"/>
      <c r="D220" s="23" t="s">
        <v>252</v>
      </c>
      <c r="E220" s="24" t="s">
        <v>288</v>
      </c>
      <c r="F220" s="24" t="s">
        <v>289</v>
      </c>
      <c r="G220" s="24" t="s">
        <v>290</v>
      </c>
      <c r="H220" s="25"/>
      <c r="I220" s="25"/>
    </row>
    <row r="221" spans="1:9" s="15" customFormat="1" ht="26.4">
      <c r="A221" s="106"/>
      <c r="B221" s="82" t="s">
        <v>291</v>
      </c>
      <c r="C221" s="110"/>
      <c r="D221" s="23" t="s">
        <v>252</v>
      </c>
      <c r="E221" s="24" t="s">
        <v>78</v>
      </c>
      <c r="F221" s="24" t="s">
        <v>292</v>
      </c>
      <c r="G221" s="24" t="s">
        <v>63</v>
      </c>
      <c r="H221" s="25"/>
      <c r="I221" s="25"/>
    </row>
    <row r="222" spans="1:9" s="15" customFormat="1" ht="67.2" customHeight="1">
      <c r="A222" s="106"/>
      <c r="B222" s="82" t="s">
        <v>293</v>
      </c>
      <c r="C222" s="110"/>
      <c r="D222" s="23" t="s">
        <v>252</v>
      </c>
      <c r="E222" s="24" t="s">
        <v>78</v>
      </c>
      <c r="F222" s="24" t="s">
        <v>294</v>
      </c>
      <c r="G222" s="24" t="s">
        <v>257</v>
      </c>
      <c r="H222" s="25"/>
      <c r="I222" s="25"/>
    </row>
    <row r="223" spans="1:9" s="15" customFormat="1" ht="55.2" customHeight="1">
      <c r="A223" s="106"/>
      <c r="B223" s="82" t="s">
        <v>295</v>
      </c>
      <c r="C223" s="110"/>
      <c r="D223" s="23" t="s">
        <v>252</v>
      </c>
      <c r="E223" s="24" t="s">
        <v>78</v>
      </c>
      <c r="F223" s="24" t="s">
        <v>296</v>
      </c>
      <c r="G223" s="24" t="s">
        <v>257</v>
      </c>
      <c r="H223" s="25"/>
      <c r="I223" s="25"/>
    </row>
    <row r="224" spans="1:9" s="15" customFormat="1" ht="68.400000000000006" customHeight="1">
      <c r="A224" s="106"/>
      <c r="B224" s="82" t="s">
        <v>297</v>
      </c>
      <c r="C224" s="110"/>
      <c r="D224" s="23" t="s">
        <v>252</v>
      </c>
      <c r="E224" s="24" t="s">
        <v>78</v>
      </c>
      <c r="F224" s="24" t="s">
        <v>298</v>
      </c>
      <c r="G224" s="24" t="s">
        <v>257</v>
      </c>
      <c r="H224" s="25"/>
      <c r="I224" s="25"/>
    </row>
    <row r="225" spans="1:9" s="15" customFormat="1" ht="54.6" customHeight="1">
      <c r="A225" s="106"/>
      <c r="B225" s="82" t="s">
        <v>299</v>
      </c>
      <c r="C225" s="110"/>
      <c r="D225" s="23" t="s">
        <v>252</v>
      </c>
      <c r="E225" s="24" t="s">
        <v>271</v>
      </c>
      <c r="F225" s="24" t="s">
        <v>300</v>
      </c>
      <c r="G225" s="24" t="s">
        <v>301</v>
      </c>
      <c r="H225" s="25"/>
      <c r="I225" s="25"/>
    </row>
    <row r="226" spans="1:9" s="15" customFormat="1" ht="28.8" customHeight="1">
      <c r="A226" s="106"/>
      <c r="B226" s="82" t="s">
        <v>302</v>
      </c>
      <c r="C226" s="110"/>
      <c r="D226" s="23" t="s">
        <v>252</v>
      </c>
      <c r="E226" s="24" t="s">
        <v>78</v>
      </c>
      <c r="F226" s="24" t="s">
        <v>303</v>
      </c>
      <c r="G226" s="24" t="s">
        <v>257</v>
      </c>
      <c r="H226" s="25"/>
      <c r="I226" s="25"/>
    </row>
    <row r="227" spans="1:9" s="15" customFormat="1" ht="13.2">
      <c r="A227" s="106"/>
      <c r="B227" s="82" t="s">
        <v>304</v>
      </c>
      <c r="C227" s="110"/>
      <c r="D227" s="23" t="s">
        <v>252</v>
      </c>
      <c r="E227" s="24" t="s">
        <v>78</v>
      </c>
      <c r="F227" s="24" t="s">
        <v>305</v>
      </c>
      <c r="G227" s="24" t="s">
        <v>257</v>
      </c>
      <c r="H227" s="25"/>
      <c r="I227" s="25"/>
    </row>
    <row r="228" spans="1:9" s="15" customFormat="1" ht="40.200000000000003" customHeight="1">
      <c r="A228" s="106"/>
      <c r="B228" s="82" t="s">
        <v>306</v>
      </c>
      <c r="C228" s="110"/>
      <c r="D228" s="23" t="s">
        <v>252</v>
      </c>
      <c r="E228" s="24" t="s">
        <v>271</v>
      </c>
      <c r="F228" s="24" t="s">
        <v>307</v>
      </c>
      <c r="G228" s="24" t="s">
        <v>63</v>
      </c>
      <c r="H228" s="25"/>
      <c r="I228" s="25"/>
    </row>
    <row r="229" spans="1:9" s="15" customFormat="1" ht="52.8">
      <c r="A229" s="106"/>
      <c r="B229" s="82" t="s">
        <v>308</v>
      </c>
      <c r="C229" s="82" t="s">
        <v>58</v>
      </c>
      <c r="D229" s="23" t="s">
        <v>59</v>
      </c>
      <c r="E229" s="24" t="s">
        <v>64</v>
      </c>
      <c r="F229" s="24" t="s">
        <v>309</v>
      </c>
      <c r="G229" s="24" t="s">
        <v>63</v>
      </c>
      <c r="H229" s="25"/>
      <c r="I229" s="25"/>
    </row>
    <row r="230" spans="1:9" s="15" customFormat="1" ht="22.2" customHeight="1">
      <c r="A230" s="106" t="s">
        <v>310</v>
      </c>
      <c r="B230" s="82"/>
      <c r="C230" s="82" t="s">
        <v>57</v>
      </c>
      <c r="D230" s="23"/>
      <c r="E230" s="24"/>
      <c r="F230" s="24"/>
      <c r="G230" s="24"/>
      <c r="H230" s="25"/>
      <c r="I230" s="25"/>
    </row>
    <row r="231" spans="1:9" s="15" customFormat="1" ht="39" customHeight="1">
      <c r="A231" s="106"/>
      <c r="B231" s="82"/>
      <c r="C231" s="109" t="s">
        <v>311</v>
      </c>
      <c r="D231" s="23" t="s">
        <v>252</v>
      </c>
      <c r="E231" s="24"/>
      <c r="F231" s="24"/>
      <c r="G231" s="24"/>
      <c r="H231" s="25"/>
      <c r="I231" s="25"/>
    </row>
    <row r="232" spans="1:9" s="15" customFormat="1" ht="53.4" customHeight="1">
      <c r="A232" s="106"/>
      <c r="B232" s="82" t="s">
        <v>312</v>
      </c>
      <c r="C232" s="110"/>
      <c r="D232" s="23" t="s">
        <v>252</v>
      </c>
      <c r="E232" s="24" t="s">
        <v>78</v>
      </c>
      <c r="F232" s="24" t="s">
        <v>313</v>
      </c>
      <c r="G232" s="24" t="s">
        <v>257</v>
      </c>
      <c r="H232" s="25"/>
      <c r="I232" s="25"/>
    </row>
    <row r="233" spans="1:9" s="15" customFormat="1" ht="68.400000000000006" customHeight="1">
      <c r="A233" s="106"/>
      <c r="B233" s="82" t="s">
        <v>314</v>
      </c>
      <c r="C233" s="110"/>
      <c r="D233" s="23" t="s">
        <v>252</v>
      </c>
      <c r="E233" s="24" t="s">
        <v>78</v>
      </c>
      <c r="F233" s="24" t="s">
        <v>315</v>
      </c>
      <c r="G233" s="24" t="s">
        <v>257</v>
      </c>
      <c r="H233" s="25"/>
      <c r="I233" s="25"/>
    </row>
    <row r="234" spans="1:9" s="15" customFormat="1" ht="94.8" customHeight="1">
      <c r="A234" s="106"/>
      <c r="B234" s="82" t="s">
        <v>316</v>
      </c>
      <c r="C234" s="110"/>
      <c r="D234" s="23" t="s">
        <v>252</v>
      </c>
      <c r="E234" s="24" t="s">
        <v>78</v>
      </c>
      <c r="F234" s="24" t="s">
        <v>317</v>
      </c>
      <c r="G234" s="24" t="s">
        <v>257</v>
      </c>
      <c r="H234" s="25"/>
      <c r="I234" s="25"/>
    </row>
    <row r="235" spans="1:9" s="15" customFormat="1" ht="121.8" customHeight="1">
      <c r="A235" s="106"/>
      <c r="B235" s="82" t="s">
        <v>318</v>
      </c>
      <c r="C235" s="110"/>
      <c r="D235" s="23" t="s">
        <v>252</v>
      </c>
      <c r="E235" s="24" t="s">
        <v>78</v>
      </c>
      <c r="F235" s="24" t="s">
        <v>319</v>
      </c>
      <c r="G235" s="24" t="s">
        <v>257</v>
      </c>
      <c r="H235" s="25"/>
      <c r="I235" s="25"/>
    </row>
    <row r="236" spans="1:9" s="15" customFormat="1" ht="66.599999999999994" customHeight="1">
      <c r="A236" s="106"/>
      <c r="B236" s="82" t="s">
        <v>320</v>
      </c>
      <c r="C236" s="110"/>
      <c r="D236" s="23" t="s">
        <v>252</v>
      </c>
      <c r="E236" s="24" t="s">
        <v>78</v>
      </c>
      <c r="F236" s="24" t="s">
        <v>321</v>
      </c>
      <c r="G236" s="24" t="s">
        <v>257</v>
      </c>
      <c r="H236" s="25"/>
      <c r="I236" s="25"/>
    </row>
    <row r="237" spans="1:9" s="15" customFormat="1" ht="96" customHeight="1">
      <c r="A237" s="106"/>
      <c r="B237" s="82" t="s">
        <v>322</v>
      </c>
      <c r="C237" s="110"/>
      <c r="D237" s="23" t="s">
        <v>252</v>
      </c>
      <c r="E237" s="24" t="s">
        <v>78</v>
      </c>
      <c r="F237" s="24" t="s">
        <v>323</v>
      </c>
      <c r="G237" s="24" t="s">
        <v>257</v>
      </c>
      <c r="H237" s="25"/>
      <c r="I237" s="25"/>
    </row>
    <row r="238" spans="1:9" s="15" customFormat="1" ht="108.6" customHeight="1">
      <c r="A238" s="106"/>
      <c r="B238" s="82" t="s">
        <v>324</v>
      </c>
      <c r="C238" s="110"/>
      <c r="D238" s="23" t="s">
        <v>252</v>
      </c>
      <c r="E238" s="24" t="s">
        <v>78</v>
      </c>
      <c r="F238" s="24" t="s">
        <v>325</v>
      </c>
      <c r="G238" s="24" t="s">
        <v>257</v>
      </c>
      <c r="H238" s="25"/>
      <c r="I238" s="25"/>
    </row>
    <row r="239" spans="1:9" s="15" customFormat="1" ht="119.4" customHeight="1">
      <c r="A239" s="106"/>
      <c r="B239" s="82" t="s">
        <v>326</v>
      </c>
      <c r="C239" s="110"/>
      <c r="D239" s="23" t="s">
        <v>252</v>
      </c>
      <c r="E239" s="24" t="s">
        <v>78</v>
      </c>
      <c r="F239" s="24" t="s">
        <v>327</v>
      </c>
      <c r="G239" s="24" t="s">
        <v>257</v>
      </c>
      <c r="H239" s="25"/>
      <c r="I239" s="25"/>
    </row>
    <row r="240" spans="1:9" s="15" customFormat="1" ht="28.2" customHeight="1">
      <c r="A240" s="106"/>
      <c r="B240" s="82" t="s">
        <v>328</v>
      </c>
      <c r="C240" s="110"/>
      <c r="D240" s="23" t="s">
        <v>252</v>
      </c>
      <c r="E240" s="24" t="s">
        <v>75</v>
      </c>
      <c r="F240" s="24" t="s">
        <v>329</v>
      </c>
      <c r="G240" s="24" t="s">
        <v>63</v>
      </c>
      <c r="H240" s="25"/>
      <c r="I240" s="25"/>
    </row>
    <row r="241" spans="1:9" s="15" customFormat="1" ht="19.2" customHeight="1">
      <c r="A241" s="106" t="s">
        <v>330</v>
      </c>
      <c r="B241" s="82"/>
      <c r="C241" s="82" t="s">
        <v>57</v>
      </c>
      <c r="D241" s="23"/>
      <c r="E241" s="24"/>
      <c r="F241" s="24"/>
      <c r="G241" s="24"/>
      <c r="H241" s="25"/>
      <c r="I241" s="25"/>
    </row>
    <row r="242" spans="1:9" s="15" customFormat="1" ht="27.6" customHeight="1">
      <c r="A242" s="106"/>
      <c r="B242" s="82"/>
      <c r="C242" s="109" t="s">
        <v>254</v>
      </c>
      <c r="D242" s="23" t="s">
        <v>252</v>
      </c>
      <c r="E242" s="24"/>
      <c r="F242" s="24"/>
      <c r="G242" s="24"/>
      <c r="H242" s="25"/>
      <c r="I242" s="25"/>
    </row>
    <row r="243" spans="1:9" s="15" customFormat="1" ht="81" customHeight="1">
      <c r="A243" s="106"/>
      <c r="B243" s="82" t="s">
        <v>331</v>
      </c>
      <c r="C243" s="110"/>
      <c r="D243" s="23" t="s">
        <v>252</v>
      </c>
      <c r="E243" s="24" t="s">
        <v>78</v>
      </c>
      <c r="F243" s="24" t="s">
        <v>332</v>
      </c>
      <c r="G243" s="24" t="s">
        <v>257</v>
      </c>
      <c r="H243" s="25"/>
      <c r="I243" s="25"/>
    </row>
    <row r="244" spans="1:9" s="15" customFormat="1" ht="186.6" customHeight="1">
      <c r="A244" s="106"/>
      <c r="B244" s="82" t="s">
        <v>333</v>
      </c>
      <c r="C244" s="110"/>
      <c r="D244" s="23" t="s">
        <v>252</v>
      </c>
      <c r="E244" s="24" t="s">
        <v>78</v>
      </c>
      <c r="F244" s="24" t="s">
        <v>334</v>
      </c>
      <c r="G244" s="24" t="s">
        <v>257</v>
      </c>
      <c r="H244" s="25"/>
      <c r="I244" s="25"/>
    </row>
    <row r="245" spans="1:9" s="15" customFormat="1" ht="28.8" customHeight="1">
      <c r="A245" s="106"/>
      <c r="B245" s="82" t="s">
        <v>335</v>
      </c>
      <c r="C245" s="110"/>
      <c r="D245" s="23" t="s">
        <v>252</v>
      </c>
      <c r="E245" s="24" t="s">
        <v>78</v>
      </c>
      <c r="F245" s="24" t="s">
        <v>336</v>
      </c>
      <c r="G245" s="24" t="s">
        <v>257</v>
      </c>
      <c r="H245" s="25"/>
      <c r="I245" s="25"/>
    </row>
    <row r="246" spans="1:9" s="15" customFormat="1" ht="28.2" customHeight="1">
      <c r="A246" s="106"/>
      <c r="B246" s="82" t="s">
        <v>335</v>
      </c>
      <c r="C246" s="111"/>
      <c r="D246" s="23" t="s">
        <v>252</v>
      </c>
      <c r="E246" s="24" t="s">
        <v>78</v>
      </c>
      <c r="F246" s="24" t="s">
        <v>337</v>
      </c>
      <c r="G246" s="24" t="s">
        <v>257</v>
      </c>
      <c r="H246" s="25"/>
      <c r="I246" s="25"/>
    </row>
    <row r="247" spans="1:9" s="15" customFormat="1" ht="21" customHeight="1">
      <c r="A247" s="106" t="s">
        <v>338</v>
      </c>
      <c r="B247" s="106" t="s">
        <v>339</v>
      </c>
      <c r="C247" s="82" t="s">
        <v>57</v>
      </c>
      <c r="D247" s="23"/>
      <c r="E247" s="24"/>
      <c r="F247" s="24"/>
      <c r="G247" s="24"/>
      <c r="H247" s="25"/>
      <c r="I247" s="25"/>
    </row>
    <row r="248" spans="1:9" s="15" customFormat="1" ht="54" customHeight="1">
      <c r="A248" s="106"/>
      <c r="B248" s="106"/>
      <c r="C248" s="82" t="s">
        <v>254</v>
      </c>
      <c r="D248" s="23" t="s">
        <v>252</v>
      </c>
      <c r="E248" s="24" t="s">
        <v>340</v>
      </c>
      <c r="F248" s="24" t="s">
        <v>341</v>
      </c>
      <c r="G248" s="24" t="s">
        <v>63</v>
      </c>
      <c r="H248" s="25"/>
      <c r="I248" s="25"/>
    </row>
    <row r="249" spans="1:9" s="15" customFormat="1" ht="26.4">
      <c r="A249" s="106" t="s">
        <v>342</v>
      </c>
      <c r="B249" s="106" t="s">
        <v>343</v>
      </c>
      <c r="C249" s="82" t="s">
        <v>57</v>
      </c>
      <c r="D249" s="23"/>
      <c r="E249" s="24"/>
      <c r="F249" s="24"/>
      <c r="G249" s="24"/>
      <c r="H249" s="25"/>
      <c r="I249" s="25"/>
    </row>
    <row r="250" spans="1:9" s="15" customFormat="1" ht="25.2" customHeight="1">
      <c r="A250" s="106"/>
      <c r="B250" s="106"/>
      <c r="C250" s="109" t="s">
        <v>254</v>
      </c>
      <c r="D250" s="23" t="s">
        <v>252</v>
      </c>
      <c r="E250" s="24" t="s">
        <v>271</v>
      </c>
      <c r="F250" s="24" t="s">
        <v>344</v>
      </c>
      <c r="G250" s="24" t="s">
        <v>140</v>
      </c>
      <c r="H250" s="25"/>
      <c r="I250" s="25"/>
    </row>
    <row r="251" spans="1:9" s="15" customFormat="1" ht="26.4" customHeight="1">
      <c r="A251" s="106"/>
      <c r="B251" s="106"/>
      <c r="C251" s="111"/>
      <c r="D251" s="23" t="s">
        <v>252</v>
      </c>
      <c r="E251" s="24" t="s">
        <v>271</v>
      </c>
      <c r="F251" s="24" t="s">
        <v>344</v>
      </c>
      <c r="G251" s="24" t="s">
        <v>141</v>
      </c>
      <c r="H251" s="25"/>
      <c r="I251" s="25"/>
    </row>
    <row r="252" spans="1:9" s="67" customFormat="1" ht="25.5" customHeight="1">
      <c r="A252" s="148" t="s">
        <v>709</v>
      </c>
      <c r="B252" s="149"/>
      <c r="C252" s="63"/>
      <c r="D252" s="64"/>
      <c r="E252" s="65"/>
      <c r="F252" s="65"/>
      <c r="G252" s="65"/>
      <c r="H252" s="66"/>
      <c r="I252" s="66"/>
    </row>
    <row r="253" spans="1:9" s="15" customFormat="1" ht="20.399999999999999" customHeight="1">
      <c r="A253" s="106" t="s">
        <v>635</v>
      </c>
      <c r="B253" s="82"/>
      <c r="C253" s="82" t="s">
        <v>57</v>
      </c>
      <c r="D253" s="23"/>
      <c r="E253" s="24"/>
      <c r="F253" s="24"/>
      <c r="G253" s="24"/>
      <c r="H253" s="105">
        <f>H254</f>
        <v>52851.554600000003</v>
      </c>
      <c r="I253" s="105">
        <f t="shared" ref="I253" si="5">I254</f>
        <v>52851.554600000003</v>
      </c>
    </row>
    <row r="254" spans="1:9" s="15" customFormat="1" ht="48.6" customHeight="1">
      <c r="A254" s="106"/>
      <c r="B254" s="82"/>
      <c r="C254" s="109" t="s">
        <v>254</v>
      </c>
      <c r="D254" s="23" t="s">
        <v>252</v>
      </c>
      <c r="E254" s="24"/>
      <c r="F254" s="24"/>
      <c r="G254" s="24"/>
      <c r="H254" s="25">
        <f t="shared" ref="H254:I254" si="6">SUM(H255:H256)</f>
        <v>52851.554600000003</v>
      </c>
      <c r="I254" s="25">
        <f t="shared" si="6"/>
        <v>52851.554600000003</v>
      </c>
    </row>
    <row r="255" spans="1:9" s="15" customFormat="1" ht="52.8" customHeight="1">
      <c r="A255" s="106"/>
      <c r="B255" s="82" t="s">
        <v>339</v>
      </c>
      <c r="C255" s="110"/>
      <c r="D255" s="23" t="s">
        <v>252</v>
      </c>
      <c r="E255" s="24" t="s">
        <v>340</v>
      </c>
      <c r="F255" s="24" t="s">
        <v>638</v>
      </c>
      <c r="G255" s="24" t="s">
        <v>570</v>
      </c>
      <c r="H255" s="25">
        <v>52802.938600000001</v>
      </c>
      <c r="I255" s="25">
        <v>52802.938600000001</v>
      </c>
    </row>
    <row r="256" spans="1:9" s="15" customFormat="1" ht="68.400000000000006" customHeight="1">
      <c r="A256" s="106"/>
      <c r="B256" s="82" t="s">
        <v>320</v>
      </c>
      <c r="C256" s="110"/>
      <c r="D256" s="23" t="s">
        <v>252</v>
      </c>
      <c r="E256" s="24" t="s">
        <v>78</v>
      </c>
      <c r="F256" s="24" t="s">
        <v>639</v>
      </c>
      <c r="G256" s="24" t="s">
        <v>573</v>
      </c>
      <c r="H256" s="25">
        <v>48.616</v>
      </c>
      <c r="I256" s="25">
        <v>48.616</v>
      </c>
    </row>
    <row r="257" spans="1:9" s="15" customFormat="1" ht="20.399999999999999" customHeight="1">
      <c r="A257" s="106" t="s">
        <v>636</v>
      </c>
      <c r="B257" s="82"/>
      <c r="C257" s="82" t="s">
        <v>57</v>
      </c>
      <c r="D257" s="23"/>
      <c r="E257" s="24"/>
      <c r="F257" s="24"/>
      <c r="G257" s="24"/>
      <c r="H257" s="105">
        <f>H258</f>
        <v>10389.5083</v>
      </c>
      <c r="I257" s="105">
        <f>I258</f>
        <v>10389.5083</v>
      </c>
    </row>
    <row r="258" spans="1:9" s="15" customFormat="1" ht="54" customHeight="1">
      <c r="A258" s="106"/>
      <c r="B258" s="82"/>
      <c r="C258" s="109" t="s">
        <v>311</v>
      </c>
      <c r="D258" s="23" t="s">
        <v>252</v>
      </c>
      <c r="E258" s="24"/>
      <c r="F258" s="24"/>
      <c r="G258" s="24"/>
      <c r="H258" s="25">
        <f t="shared" ref="H258:I258" si="7">SUM(H259:H261)</f>
        <v>10389.5083</v>
      </c>
      <c r="I258" s="25">
        <f t="shared" si="7"/>
        <v>10389.5083</v>
      </c>
    </row>
    <row r="259" spans="1:9" s="15" customFormat="1" ht="27" customHeight="1">
      <c r="A259" s="106"/>
      <c r="B259" s="109" t="s">
        <v>343</v>
      </c>
      <c r="C259" s="110"/>
      <c r="D259" s="23" t="s">
        <v>252</v>
      </c>
      <c r="E259" s="24" t="s">
        <v>271</v>
      </c>
      <c r="F259" s="24" t="s">
        <v>640</v>
      </c>
      <c r="G259" s="24" t="s">
        <v>594</v>
      </c>
      <c r="H259" s="25">
        <f>9188.1583+49.84483</f>
        <v>9238.0031299999991</v>
      </c>
      <c r="I259" s="25">
        <f>9188.1583+49.84483</f>
        <v>9238.0031299999991</v>
      </c>
    </row>
    <row r="260" spans="1:9" s="15" customFormat="1" ht="30" customHeight="1">
      <c r="A260" s="106"/>
      <c r="B260" s="110"/>
      <c r="C260" s="110"/>
      <c r="D260" s="23" t="s">
        <v>252</v>
      </c>
      <c r="E260" s="24" t="s">
        <v>271</v>
      </c>
      <c r="F260" s="24" t="s">
        <v>640</v>
      </c>
      <c r="G260" s="24" t="s">
        <v>584</v>
      </c>
      <c r="H260" s="25">
        <v>1115.60383</v>
      </c>
      <c r="I260" s="25">
        <v>1115.60383</v>
      </c>
    </row>
    <row r="261" spans="1:9" s="15" customFormat="1" ht="42.75" customHeight="1">
      <c r="A261" s="106"/>
      <c r="B261" s="111"/>
      <c r="C261" s="110"/>
      <c r="D261" s="23" t="s">
        <v>252</v>
      </c>
      <c r="E261" s="24" t="s">
        <v>271</v>
      </c>
      <c r="F261" s="24" t="s">
        <v>640</v>
      </c>
      <c r="G261" s="24" t="s">
        <v>641</v>
      </c>
      <c r="H261" s="25">
        <f>34.10134+1.8</f>
        <v>35.901339999999998</v>
      </c>
      <c r="I261" s="25">
        <f>34.10134+1.8</f>
        <v>35.901339999999998</v>
      </c>
    </row>
    <row r="262" spans="1:9" s="15" customFormat="1" ht="12.75" customHeight="1">
      <c r="A262" s="109" t="s">
        <v>637</v>
      </c>
      <c r="B262" s="82"/>
      <c r="C262" s="82" t="s">
        <v>57</v>
      </c>
      <c r="D262" s="23"/>
      <c r="E262" s="24"/>
      <c r="F262" s="24"/>
      <c r="G262" s="24"/>
      <c r="H262" s="105">
        <f>H263+H272+H273</f>
        <v>3452.6267899999993</v>
      </c>
      <c r="I262" s="105">
        <f t="shared" ref="I262" si="8">I263+I272+I273</f>
        <v>3317.31585</v>
      </c>
    </row>
    <row r="263" spans="1:9" s="15" customFormat="1" ht="33.6" customHeight="1">
      <c r="A263" s="110"/>
      <c r="B263" s="82"/>
      <c r="C263" s="109" t="s">
        <v>254</v>
      </c>
      <c r="D263" s="23" t="s">
        <v>252</v>
      </c>
      <c r="E263" s="24"/>
      <c r="F263" s="24"/>
      <c r="G263" s="24"/>
      <c r="H263" s="25">
        <f>SUM(H264:H271)</f>
        <v>2236.0267899999994</v>
      </c>
      <c r="I263" s="25">
        <f t="shared" ref="I263" si="9">SUM(I264:I271)</f>
        <v>2143.9868499999998</v>
      </c>
    </row>
    <row r="264" spans="1:9" s="15" customFormat="1" ht="58.8" customHeight="1">
      <c r="A264" s="110"/>
      <c r="B264" s="82" t="s">
        <v>191</v>
      </c>
      <c r="C264" s="110"/>
      <c r="D264" s="23" t="s">
        <v>252</v>
      </c>
      <c r="E264" s="24" t="s">
        <v>271</v>
      </c>
      <c r="F264" s="24" t="s">
        <v>648</v>
      </c>
      <c r="G264" s="24" t="s">
        <v>573</v>
      </c>
      <c r="H264" s="25">
        <v>1378</v>
      </c>
      <c r="I264" s="25">
        <v>1286.3859399999999</v>
      </c>
    </row>
    <row r="265" spans="1:9" s="15" customFormat="1" ht="19.2" customHeight="1">
      <c r="A265" s="110"/>
      <c r="B265" s="82" t="s">
        <v>287</v>
      </c>
      <c r="C265" s="110"/>
      <c r="D265" s="23" t="s">
        <v>252</v>
      </c>
      <c r="E265" s="24" t="s">
        <v>288</v>
      </c>
      <c r="F265" s="24" t="s">
        <v>649</v>
      </c>
      <c r="G265" s="24" t="s">
        <v>650</v>
      </c>
      <c r="H265" s="25">
        <v>359.48989999999998</v>
      </c>
      <c r="I265" s="25">
        <v>359.48989999999998</v>
      </c>
    </row>
    <row r="266" spans="1:9" s="15" customFormat="1" ht="28.8" customHeight="1">
      <c r="A266" s="110"/>
      <c r="B266" s="82" t="s">
        <v>328</v>
      </c>
      <c r="C266" s="110"/>
      <c r="D266" s="23" t="s">
        <v>252</v>
      </c>
      <c r="E266" s="24" t="s">
        <v>75</v>
      </c>
      <c r="F266" s="24" t="s">
        <v>651</v>
      </c>
      <c r="G266" s="24" t="s">
        <v>573</v>
      </c>
      <c r="H266" s="25">
        <v>120</v>
      </c>
      <c r="I266" s="25">
        <v>120</v>
      </c>
    </row>
    <row r="267" spans="1:9" s="15" customFormat="1" ht="29.4" customHeight="1">
      <c r="A267" s="110"/>
      <c r="B267" s="82" t="s">
        <v>654</v>
      </c>
      <c r="C267" s="110"/>
      <c r="D267" s="23" t="s">
        <v>252</v>
      </c>
      <c r="E267" s="24" t="s">
        <v>271</v>
      </c>
      <c r="F267" s="24" t="s">
        <v>653</v>
      </c>
      <c r="G267" s="24" t="s">
        <v>573</v>
      </c>
      <c r="H267" s="25">
        <v>270.15379000000001</v>
      </c>
      <c r="I267" s="25">
        <v>269.72879</v>
      </c>
    </row>
    <row r="268" spans="1:9" s="15" customFormat="1" ht="41.25" customHeight="1">
      <c r="A268" s="110"/>
      <c r="B268" s="82" t="s">
        <v>652</v>
      </c>
      <c r="C268" s="110"/>
      <c r="D268" s="23" t="s">
        <v>252</v>
      </c>
      <c r="E268" s="24" t="s">
        <v>271</v>
      </c>
      <c r="F268" s="24" t="s">
        <v>655</v>
      </c>
      <c r="G268" s="24" t="s">
        <v>301</v>
      </c>
      <c r="H268" s="25">
        <v>20</v>
      </c>
      <c r="I268" s="25">
        <v>20</v>
      </c>
    </row>
    <row r="269" spans="1:9" s="15" customFormat="1" ht="68.400000000000006" customHeight="1">
      <c r="A269" s="110"/>
      <c r="B269" s="82" t="s">
        <v>585</v>
      </c>
      <c r="C269" s="110"/>
      <c r="D269" s="23" t="s">
        <v>252</v>
      </c>
      <c r="E269" s="24" t="s">
        <v>271</v>
      </c>
      <c r="F269" s="24" t="s">
        <v>656</v>
      </c>
      <c r="G269" s="24" t="s">
        <v>584</v>
      </c>
      <c r="H269" s="25">
        <v>4.048</v>
      </c>
      <c r="I269" s="25">
        <v>4.0471199999999996</v>
      </c>
    </row>
    <row r="270" spans="1:9" s="15" customFormat="1" ht="43.8" customHeight="1">
      <c r="A270" s="110"/>
      <c r="B270" s="82" t="s">
        <v>646</v>
      </c>
      <c r="C270" s="110"/>
      <c r="D270" s="23" t="s">
        <v>252</v>
      </c>
      <c r="E270" s="24" t="s">
        <v>271</v>
      </c>
      <c r="F270" s="24" t="s">
        <v>643</v>
      </c>
      <c r="G270" s="24" t="s">
        <v>573</v>
      </c>
      <c r="H270" s="25">
        <v>70</v>
      </c>
      <c r="I270" s="25">
        <v>70</v>
      </c>
    </row>
    <row r="271" spans="1:9" s="15" customFormat="1" ht="68.400000000000006" customHeight="1">
      <c r="A271" s="110"/>
      <c r="B271" s="82" t="s">
        <v>658</v>
      </c>
      <c r="C271" s="111"/>
      <c r="D271" s="23" t="s">
        <v>252</v>
      </c>
      <c r="E271" s="24" t="s">
        <v>271</v>
      </c>
      <c r="F271" s="24" t="s">
        <v>657</v>
      </c>
      <c r="G271" s="24" t="s">
        <v>573</v>
      </c>
      <c r="H271" s="25">
        <v>14.335100000000001</v>
      </c>
      <c r="I271" s="25">
        <v>14.335100000000001</v>
      </c>
    </row>
    <row r="272" spans="1:9" s="15" customFormat="1" ht="37.799999999999997" customHeight="1">
      <c r="A272" s="110"/>
      <c r="B272" s="82" t="s">
        <v>308</v>
      </c>
      <c r="C272" s="83" t="s">
        <v>132</v>
      </c>
      <c r="D272" s="23" t="s">
        <v>59</v>
      </c>
      <c r="E272" s="24" t="s">
        <v>64</v>
      </c>
      <c r="F272" s="24" t="s">
        <v>647</v>
      </c>
      <c r="G272" s="24" t="s">
        <v>573</v>
      </c>
      <c r="H272" s="25">
        <v>192.1</v>
      </c>
      <c r="I272" s="25">
        <v>148.904</v>
      </c>
    </row>
    <row r="273" spans="1:9" s="15" customFormat="1" ht="25.2" customHeight="1">
      <c r="A273" s="110"/>
      <c r="B273" s="82"/>
      <c r="C273" s="109" t="s">
        <v>457</v>
      </c>
      <c r="D273" s="58" t="s">
        <v>659</v>
      </c>
      <c r="E273" s="24"/>
      <c r="F273" s="24"/>
      <c r="G273" s="24"/>
      <c r="H273" s="25">
        <f>SUM(H274:H277)</f>
        <v>1024.5</v>
      </c>
      <c r="I273" s="25">
        <f t="shared" ref="I273" si="10">SUM(I274:I277)</f>
        <v>1024.425</v>
      </c>
    </row>
    <row r="274" spans="1:9" s="15" customFormat="1" ht="105" customHeight="1">
      <c r="A274" s="110"/>
      <c r="B274" s="82" t="s">
        <v>644</v>
      </c>
      <c r="C274" s="110"/>
      <c r="D274" s="23" t="s">
        <v>155</v>
      </c>
      <c r="E274" s="24" t="s">
        <v>271</v>
      </c>
      <c r="F274" s="24" t="s">
        <v>642</v>
      </c>
      <c r="G274" s="24" t="s">
        <v>573</v>
      </c>
      <c r="H274" s="25">
        <v>214.2</v>
      </c>
      <c r="I274" s="25">
        <v>214.17750000000001</v>
      </c>
    </row>
    <row r="275" spans="1:9" s="15" customFormat="1" ht="43.8" customHeight="1">
      <c r="A275" s="110"/>
      <c r="B275" s="82" t="s">
        <v>645</v>
      </c>
      <c r="C275" s="110"/>
      <c r="D275" s="58" t="s">
        <v>155</v>
      </c>
      <c r="E275" s="24" t="s">
        <v>271</v>
      </c>
      <c r="F275" s="58" t="s">
        <v>710</v>
      </c>
      <c r="G275" s="24" t="s">
        <v>573</v>
      </c>
      <c r="H275" s="25">
        <v>717.1</v>
      </c>
      <c r="I275" s="25">
        <v>717.04750000000001</v>
      </c>
    </row>
    <row r="276" spans="1:9" s="15" customFormat="1" ht="30.75" customHeight="1">
      <c r="A276" s="110"/>
      <c r="B276" s="109" t="s">
        <v>646</v>
      </c>
      <c r="C276" s="110"/>
      <c r="D276" s="23" t="s">
        <v>155</v>
      </c>
      <c r="E276" s="24" t="s">
        <v>64</v>
      </c>
      <c r="F276" s="24" t="s">
        <v>643</v>
      </c>
      <c r="G276" s="24" t="s">
        <v>573</v>
      </c>
      <c r="H276" s="25">
        <v>58.3</v>
      </c>
      <c r="I276" s="25">
        <v>58.3</v>
      </c>
    </row>
    <row r="277" spans="1:9" s="15" customFormat="1" ht="13.8" customHeight="1">
      <c r="A277" s="111"/>
      <c r="B277" s="111"/>
      <c r="C277" s="111"/>
      <c r="D277" s="23" t="s">
        <v>155</v>
      </c>
      <c r="E277" s="24" t="s">
        <v>156</v>
      </c>
      <c r="F277" s="24" t="s">
        <v>643</v>
      </c>
      <c r="G277" s="24" t="s">
        <v>573</v>
      </c>
      <c r="H277" s="25">
        <v>34.9</v>
      </c>
      <c r="I277" s="25">
        <v>34.9</v>
      </c>
    </row>
    <row r="278" spans="1:9" s="93" customFormat="1" ht="25.5" customHeight="1">
      <c r="A278" s="166" t="s">
        <v>345</v>
      </c>
      <c r="B278" s="167"/>
      <c r="C278" s="90" t="s">
        <v>57</v>
      </c>
      <c r="D278" s="91"/>
      <c r="E278" s="91"/>
      <c r="F278" s="91"/>
      <c r="G278" s="91"/>
      <c r="H278" s="92">
        <f>H280</f>
        <v>1575</v>
      </c>
      <c r="I278" s="92">
        <f>I280</f>
        <v>1490</v>
      </c>
    </row>
    <row r="279" spans="1:9" s="93" customFormat="1" ht="25.5" customHeight="1">
      <c r="A279" s="166"/>
      <c r="B279" s="167"/>
      <c r="C279" s="90" t="s">
        <v>250</v>
      </c>
      <c r="D279" s="91"/>
      <c r="E279" s="91"/>
      <c r="F279" s="91"/>
      <c r="G279" s="91"/>
      <c r="H279" s="94"/>
      <c r="I279" s="94"/>
    </row>
    <row r="280" spans="1:9" s="93" customFormat="1" ht="42" customHeight="1">
      <c r="A280" s="166"/>
      <c r="B280" s="167"/>
      <c r="C280" s="90" t="s">
        <v>346</v>
      </c>
      <c r="D280" s="95" t="s">
        <v>347</v>
      </c>
      <c r="E280" s="91"/>
      <c r="F280" s="91"/>
      <c r="G280" s="91"/>
      <c r="H280" s="94">
        <f>H281+H283+H285</f>
        <v>1575</v>
      </c>
      <c r="I280" s="94">
        <f>I281+I283+I285</f>
        <v>1490</v>
      </c>
    </row>
    <row r="281" spans="1:9" s="15" customFormat="1" ht="25.8" customHeight="1">
      <c r="A281" s="106" t="s">
        <v>348</v>
      </c>
      <c r="B281" s="106" t="s">
        <v>349</v>
      </c>
      <c r="C281" s="82" t="s">
        <v>57</v>
      </c>
      <c r="D281" s="23"/>
      <c r="E281" s="24"/>
      <c r="F281" s="24"/>
      <c r="G281" s="24"/>
      <c r="H281" s="105">
        <f>H282</f>
        <v>800</v>
      </c>
      <c r="I281" s="105">
        <f>I282</f>
        <v>800</v>
      </c>
    </row>
    <row r="282" spans="1:9" s="15" customFormat="1" ht="44.4" customHeight="1">
      <c r="A282" s="106"/>
      <c r="B282" s="106"/>
      <c r="C282" s="82" t="s">
        <v>350</v>
      </c>
      <c r="D282" s="23" t="s">
        <v>347</v>
      </c>
      <c r="E282" s="24" t="s">
        <v>351</v>
      </c>
      <c r="F282" s="24" t="s">
        <v>352</v>
      </c>
      <c r="G282" s="24" t="s">
        <v>353</v>
      </c>
      <c r="H282" s="25">
        <v>800</v>
      </c>
      <c r="I282" s="25">
        <v>800</v>
      </c>
    </row>
    <row r="283" spans="1:9" s="15" customFormat="1" ht="23.4" customHeight="1">
      <c r="A283" s="109" t="s">
        <v>354</v>
      </c>
      <c r="B283" s="106" t="s">
        <v>355</v>
      </c>
      <c r="C283" s="82" t="s">
        <v>57</v>
      </c>
      <c r="D283" s="23"/>
      <c r="E283" s="24"/>
      <c r="F283" s="24"/>
      <c r="G283" s="24"/>
      <c r="H283" s="105">
        <f>H284</f>
        <v>585</v>
      </c>
      <c r="I283" s="105">
        <f>I284</f>
        <v>500</v>
      </c>
    </row>
    <row r="284" spans="1:9" s="15" customFormat="1" ht="41.4" customHeight="1">
      <c r="A284" s="110"/>
      <c r="B284" s="106"/>
      <c r="C284" s="82" t="s">
        <v>350</v>
      </c>
      <c r="D284" s="23" t="s">
        <v>347</v>
      </c>
      <c r="E284" s="24" t="s">
        <v>351</v>
      </c>
      <c r="F284" s="24" t="s">
        <v>356</v>
      </c>
      <c r="G284" s="24" t="s">
        <v>353</v>
      </c>
      <c r="H284" s="25">
        <v>585</v>
      </c>
      <c r="I284" s="25">
        <v>500</v>
      </c>
    </row>
    <row r="285" spans="1:9" s="15" customFormat="1" ht="22.2" customHeight="1">
      <c r="A285" s="109" t="s">
        <v>357</v>
      </c>
      <c r="B285" s="106" t="s">
        <v>358</v>
      </c>
      <c r="C285" s="82" t="s">
        <v>57</v>
      </c>
      <c r="D285" s="23"/>
      <c r="E285" s="23"/>
      <c r="F285" s="23"/>
      <c r="G285" s="23"/>
      <c r="H285" s="105">
        <f>H286</f>
        <v>190</v>
      </c>
      <c r="I285" s="105">
        <f>I286</f>
        <v>190</v>
      </c>
    </row>
    <row r="286" spans="1:9" s="15" customFormat="1" ht="43.2" customHeight="1">
      <c r="A286" s="110"/>
      <c r="B286" s="106"/>
      <c r="C286" s="82" t="s">
        <v>350</v>
      </c>
      <c r="D286" s="23" t="s">
        <v>347</v>
      </c>
      <c r="E286" s="24" t="s">
        <v>351</v>
      </c>
      <c r="F286" s="24" t="s">
        <v>359</v>
      </c>
      <c r="G286" s="24" t="s">
        <v>353</v>
      </c>
      <c r="H286" s="25">
        <v>190</v>
      </c>
      <c r="I286" s="25">
        <v>190</v>
      </c>
    </row>
    <row r="287" spans="1:9" s="15" customFormat="1" ht="23.4" customHeight="1">
      <c r="A287" s="109" t="s">
        <v>724</v>
      </c>
      <c r="B287" s="106" t="s">
        <v>725</v>
      </c>
      <c r="C287" s="82" t="s">
        <v>57</v>
      </c>
      <c r="D287" s="23"/>
      <c r="E287" s="23"/>
      <c r="F287" s="23"/>
      <c r="G287" s="23"/>
      <c r="H287" s="25">
        <f>H288</f>
        <v>0</v>
      </c>
      <c r="I287" s="25">
        <f>I288</f>
        <v>0</v>
      </c>
    </row>
    <row r="288" spans="1:9" s="15" customFormat="1" ht="44.4" customHeight="1">
      <c r="A288" s="110"/>
      <c r="B288" s="106"/>
      <c r="C288" s="82" t="s">
        <v>350</v>
      </c>
      <c r="D288" s="23" t="s">
        <v>347</v>
      </c>
      <c r="E288" s="24" t="s">
        <v>351</v>
      </c>
      <c r="F288" s="24" t="s">
        <v>726</v>
      </c>
      <c r="G288" s="24" t="s">
        <v>353</v>
      </c>
      <c r="H288" s="25"/>
      <c r="I288" s="25"/>
    </row>
    <row r="289" spans="1:9" s="93" customFormat="1" ht="18" customHeight="1">
      <c r="A289" s="166" t="s">
        <v>360</v>
      </c>
      <c r="B289" s="167"/>
      <c r="C289" s="90" t="s">
        <v>57</v>
      </c>
      <c r="D289" s="91"/>
      <c r="E289" s="91"/>
      <c r="F289" s="91"/>
      <c r="G289" s="91"/>
      <c r="H289" s="92">
        <f t="shared" ref="H289:I289" si="11">H291+H293+H292</f>
        <v>9034.9347099999995</v>
      </c>
      <c r="I289" s="92">
        <f t="shared" si="11"/>
        <v>8981.0499600000003</v>
      </c>
    </row>
    <row r="290" spans="1:9" s="93" customFormat="1" ht="18" customHeight="1">
      <c r="A290" s="166"/>
      <c r="B290" s="167"/>
      <c r="C290" s="90" t="s">
        <v>250</v>
      </c>
      <c r="D290" s="91"/>
      <c r="E290" s="91"/>
      <c r="F290" s="91"/>
      <c r="G290" s="91"/>
      <c r="H290" s="94"/>
      <c r="I290" s="94"/>
    </row>
    <row r="291" spans="1:9" s="93" customFormat="1" ht="29.25" customHeight="1">
      <c r="A291" s="166"/>
      <c r="B291" s="167"/>
      <c r="C291" s="90" t="s">
        <v>346</v>
      </c>
      <c r="D291" s="95" t="s">
        <v>347</v>
      </c>
      <c r="E291" s="91"/>
      <c r="F291" s="91"/>
      <c r="G291" s="91"/>
      <c r="H291" s="94">
        <f t="shared" ref="H291:I291" si="12">H294-H313-H317+H321</f>
        <v>8393.3777099999988</v>
      </c>
      <c r="I291" s="94">
        <f t="shared" si="12"/>
        <v>8339.4929599999996</v>
      </c>
    </row>
    <row r="292" spans="1:9" s="93" customFormat="1" ht="29.25" customHeight="1">
      <c r="A292" s="166"/>
      <c r="B292" s="167"/>
      <c r="C292" s="90" t="s">
        <v>457</v>
      </c>
      <c r="D292" s="95" t="s">
        <v>155</v>
      </c>
      <c r="E292" s="91"/>
      <c r="F292" s="91"/>
      <c r="G292" s="91"/>
      <c r="H292" s="94">
        <f>H313+H329</f>
        <v>541.55700000000002</v>
      </c>
      <c r="I292" s="94">
        <f t="shared" ref="I292" si="13">I313+I329</f>
        <v>541.55700000000002</v>
      </c>
    </row>
    <row r="293" spans="1:9" s="93" customFormat="1" ht="38.25" customHeight="1">
      <c r="A293" s="166"/>
      <c r="B293" s="167"/>
      <c r="C293" s="90" t="s">
        <v>132</v>
      </c>
      <c r="D293" s="95" t="s">
        <v>59</v>
      </c>
      <c r="E293" s="91"/>
      <c r="F293" s="91"/>
      <c r="G293" s="91"/>
      <c r="H293" s="94">
        <f t="shared" ref="H293:I293" si="14">H317</f>
        <v>100</v>
      </c>
      <c r="I293" s="94">
        <f t="shared" si="14"/>
        <v>100</v>
      </c>
    </row>
    <row r="294" spans="1:9" s="15" customFormat="1" ht="16.8" customHeight="1">
      <c r="A294" s="109" t="s">
        <v>361</v>
      </c>
      <c r="B294" s="82"/>
      <c r="C294" s="82" t="s">
        <v>57</v>
      </c>
      <c r="D294" s="23"/>
      <c r="E294" s="24"/>
      <c r="F294" s="24"/>
      <c r="G294" s="24"/>
      <c r="H294" s="105">
        <f t="shared" ref="H294:I294" si="15">SUM(H296:H312)+H313+H317</f>
        <v>8888.9347099999995</v>
      </c>
      <c r="I294" s="105">
        <f t="shared" si="15"/>
        <v>8835.0499600000003</v>
      </c>
    </row>
    <row r="295" spans="1:9" s="15" customFormat="1" ht="18.75" customHeight="1">
      <c r="A295" s="110"/>
      <c r="B295" s="82"/>
      <c r="C295" s="82" t="s">
        <v>362</v>
      </c>
      <c r="D295" s="23"/>
      <c r="E295" s="24"/>
      <c r="F295" s="24"/>
      <c r="G295" s="24"/>
      <c r="H295" s="25"/>
      <c r="I295" s="25"/>
    </row>
    <row r="296" spans="1:9" s="15" customFormat="1" ht="55.2" customHeight="1">
      <c r="A296" s="110"/>
      <c r="B296" s="82" t="s">
        <v>30</v>
      </c>
      <c r="C296" s="109" t="s">
        <v>346</v>
      </c>
      <c r="D296" s="23" t="s">
        <v>347</v>
      </c>
      <c r="E296" s="24" t="s">
        <v>75</v>
      </c>
      <c r="F296" s="24" t="s">
        <v>363</v>
      </c>
      <c r="G296" s="24" t="s">
        <v>570</v>
      </c>
      <c r="H296" s="25">
        <f>128.82106+357.07565</f>
        <v>485.89670999999998</v>
      </c>
      <c r="I296" s="25">
        <f>128.82106+357.07565</f>
        <v>485.89670999999998</v>
      </c>
    </row>
    <row r="297" spans="1:9" s="15" customFormat="1" ht="27.6" customHeight="1">
      <c r="A297" s="110"/>
      <c r="B297" s="82" t="s">
        <v>364</v>
      </c>
      <c r="C297" s="110"/>
      <c r="D297" s="23" t="s">
        <v>347</v>
      </c>
      <c r="E297" s="24" t="s">
        <v>75</v>
      </c>
      <c r="F297" s="24" t="s">
        <v>365</v>
      </c>
      <c r="G297" s="24" t="s">
        <v>573</v>
      </c>
      <c r="H297" s="25">
        <v>597.1</v>
      </c>
      <c r="I297" s="25">
        <v>596.92999999999995</v>
      </c>
    </row>
    <row r="298" spans="1:9" s="15" customFormat="1" ht="30.6" customHeight="1">
      <c r="A298" s="110"/>
      <c r="B298" s="82" t="s">
        <v>366</v>
      </c>
      <c r="C298" s="110"/>
      <c r="D298" s="23" t="s">
        <v>347</v>
      </c>
      <c r="E298" s="24" t="s">
        <v>75</v>
      </c>
      <c r="F298" s="24" t="s">
        <v>367</v>
      </c>
      <c r="G298" s="24" t="s">
        <v>63</v>
      </c>
      <c r="H298" s="25"/>
      <c r="I298" s="25"/>
    </row>
    <row r="299" spans="1:9" s="15" customFormat="1" ht="28.8" customHeight="1">
      <c r="A299" s="110"/>
      <c r="B299" s="82" t="s">
        <v>40</v>
      </c>
      <c r="C299" s="110"/>
      <c r="D299" s="23" t="s">
        <v>347</v>
      </c>
      <c r="E299" s="24" t="s">
        <v>75</v>
      </c>
      <c r="F299" s="24" t="s">
        <v>368</v>
      </c>
      <c r="G299" s="24" t="s">
        <v>570</v>
      </c>
      <c r="H299" s="25">
        <v>6353.0871299999999</v>
      </c>
      <c r="I299" s="25">
        <v>6303.4022999999997</v>
      </c>
    </row>
    <row r="300" spans="1:9" s="15" customFormat="1" ht="30.6" customHeight="1">
      <c r="A300" s="110"/>
      <c r="B300" s="82" t="s">
        <v>369</v>
      </c>
      <c r="C300" s="110"/>
      <c r="D300" s="23" t="s">
        <v>347</v>
      </c>
      <c r="E300" s="24" t="s">
        <v>75</v>
      </c>
      <c r="F300" s="24" t="s">
        <v>370</v>
      </c>
      <c r="G300" s="24" t="s">
        <v>141</v>
      </c>
      <c r="H300" s="25"/>
      <c r="I300" s="25"/>
    </row>
    <row r="301" spans="1:9" s="15" customFormat="1" ht="29.25" customHeight="1">
      <c r="A301" s="110"/>
      <c r="B301" s="82" t="s">
        <v>371</v>
      </c>
      <c r="C301" s="110"/>
      <c r="D301" s="23" t="s">
        <v>347</v>
      </c>
      <c r="E301" s="24" t="s">
        <v>75</v>
      </c>
      <c r="F301" s="24" t="s">
        <v>372</v>
      </c>
      <c r="G301" s="24" t="s">
        <v>83</v>
      </c>
      <c r="H301" s="25"/>
      <c r="I301" s="25"/>
    </row>
    <row r="302" spans="1:9" s="15" customFormat="1" ht="27.6" customHeight="1">
      <c r="A302" s="110"/>
      <c r="B302" s="82" t="s">
        <v>373</v>
      </c>
      <c r="C302" s="110"/>
      <c r="D302" s="23" t="s">
        <v>347</v>
      </c>
      <c r="E302" s="24" t="s">
        <v>75</v>
      </c>
      <c r="F302" s="24" t="s">
        <v>374</v>
      </c>
      <c r="G302" s="24" t="s">
        <v>141</v>
      </c>
      <c r="H302" s="25"/>
      <c r="I302" s="25"/>
    </row>
    <row r="303" spans="1:9" s="15" customFormat="1" ht="15.6" customHeight="1">
      <c r="A303" s="110"/>
      <c r="B303" s="82" t="s">
        <v>375</v>
      </c>
      <c r="C303" s="110"/>
      <c r="D303" s="23" t="s">
        <v>347</v>
      </c>
      <c r="E303" s="24" t="s">
        <v>75</v>
      </c>
      <c r="F303" s="24" t="s">
        <v>376</v>
      </c>
      <c r="G303" s="24" t="s">
        <v>141</v>
      </c>
      <c r="H303" s="25"/>
      <c r="I303" s="25"/>
    </row>
    <row r="304" spans="1:9" s="15" customFormat="1" ht="34.5" customHeight="1">
      <c r="A304" s="110"/>
      <c r="B304" s="109" t="s">
        <v>377</v>
      </c>
      <c r="C304" s="110"/>
      <c r="D304" s="23" t="s">
        <v>347</v>
      </c>
      <c r="E304" s="24" t="s">
        <v>75</v>
      </c>
      <c r="F304" s="24" t="s">
        <v>378</v>
      </c>
      <c r="G304" s="24" t="s">
        <v>141</v>
      </c>
      <c r="H304" s="25"/>
      <c r="I304" s="25"/>
    </row>
    <row r="305" spans="1:9" s="15" customFormat="1" ht="5.4" customHeight="1">
      <c r="A305" s="110"/>
      <c r="B305" s="111"/>
      <c r="C305" s="110"/>
      <c r="D305" s="23" t="s">
        <v>347</v>
      </c>
      <c r="E305" s="24" t="s">
        <v>75</v>
      </c>
      <c r="F305" s="24" t="s">
        <v>378</v>
      </c>
      <c r="G305" s="24" t="s">
        <v>63</v>
      </c>
      <c r="H305" s="25"/>
      <c r="I305" s="25"/>
    </row>
    <row r="306" spans="1:9" s="15" customFormat="1" ht="28.8" customHeight="1">
      <c r="A306" s="110"/>
      <c r="B306" s="85" t="s">
        <v>379</v>
      </c>
      <c r="C306" s="110"/>
      <c r="D306" s="23" t="s">
        <v>347</v>
      </c>
      <c r="E306" s="24" t="s">
        <v>75</v>
      </c>
      <c r="F306" s="24" t="s">
        <v>380</v>
      </c>
      <c r="G306" s="24" t="s">
        <v>141</v>
      </c>
      <c r="H306" s="25"/>
      <c r="I306" s="25"/>
    </row>
    <row r="307" spans="1:9" s="15" customFormat="1" ht="15.6" customHeight="1">
      <c r="A307" s="110"/>
      <c r="B307" s="85" t="s">
        <v>381</v>
      </c>
      <c r="C307" s="110"/>
      <c r="D307" s="23" t="s">
        <v>347</v>
      </c>
      <c r="E307" s="24" t="s">
        <v>75</v>
      </c>
      <c r="F307" s="24" t="s">
        <v>382</v>
      </c>
      <c r="G307" s="24" t="s">
        <v>141</v>
      </c>
      <c r="H307" s="25"/>
      <c r="I307" s="25"/>
    </row>
    <row r="308" spans="1:9" s="15" customFormat="1" ht="27" customHeight="1">
      <c r="A308" s="110"/>
      <c r="B308" s="82" t="s">
        <v>383</v>
      </c>
      <c r="C308" s="110"/>
      <c r="D308" s="23" t="s">
        <v>347</v>
      </c>
      <c r="E308" s="24" t="s">
        <v>75</v>
      </c>
      <c r="F308" s="24" t="s">
        <v>384</v>
      </c>
      <c r="G308" s="24" t="s">
        <v>63</v>
      </c>
      <c r="H308" s="25"/>
      <c r="I308" s="25"/>
    </row>
    <row r="309" spans="1:9" s="15" customFormat="1" ht="28.2" customHeight="1">
      <c r="A309" s="110"/>
      <c r="B309" s="82" t="s">
        <v>663</v>
      </c>
      <c r="C309" s="110"/>
      <c r="D309" s="23" t="s">
        <v>347</v>
      </c>
      <c r="E309" s="24" t="s">
        <v>75</v>
      </c>
      <c r="F309" s="24" t="s">
        <v>662</v>
      </c>
      <c r="G309" s="24" t="s">
        <v>573</v>
      </c>
      <c r="H309" s="25">
        <v>757.60299999999995</v>
      </c>
      <c r="I309" s="25">
        <v>753.57308</v>
      </c>
    </row>
    <row r="310" spans="1:9" s="15" customFormat="1" ht="52.8" customHeight="1">
      <c r="A310" s="110"/>
      <c r="B310" s="82" t="s">
        <v>665</v>
      </c>
      <c r="C310" s="110"/>
      <c r="D310" s="23" t="s">
        <v>347</v>
      </c>
      <c r="E310" s="24" t="s">
        <v>75</v>
      </c>
      <c r="F310" s="24" t="s">
        <v>664</v>
      </c>
      <c r="G310" s="24" t="s">
        <v>584</v>
      </c>
      <c r="H310" s="25">
        <v>131.19999999999999</v>
      </c>
      <c r="I310" s="25">
        <v>131.19999999999999</v>
      </c>
    </row>
    <row r="311" spans="1:9" s="15" customFormat="1" ht="43.2" customHeight="1">
      <c r="A311" s="110"/>
      <c r="B311" s="82" t="s">
        <v>385</v>
      </c>
      <c r="C311" s="110"/>
      <c r="D311" s="23" t="s">
        <v>347</v>
      </c>
      <c r="E311" s="24" t="s">
        <v>75</v>
      </c>
      <c r="F311" s="24" t="s">
        <v>386</v>
      </c>
      <c r="G311" s="24" t="s">
        <v>573</v>
      </c>
      <c r="H311" s="25">
        <v>59.71</v>
      </c>
      <c r="I311" s="25">
        <v>59.71</v>
      </c>
    </row>
    <row r="312" spans="1:9" s="15" customFormat="1" ht="67.8" customHeight="1">
      <c r="A312" s="110"/>
      <c r="B312" s="82" t="s">
        <v>38</v>
      </c>
      <c r="C312" s="111"/>
      <c r="D312" s="23" t="s">
        <v>347</v>
      </c>
      <c r="E312" s="24" t="s">
        <v>75</v>
      </c>
      <c r="F312" s="24" t="s">
        <v>661</v>
      </c>
      <c r="G312" s="24" t="s">
        <v>570</v>
      </c>
      <c r="H312" s="25">
        <v>2.7808700000000002</v>
      </c>
      <c r="I312" s="25">
        <v>2.7808700000000002</v>
      </c>
    </row>
    <row r="313" spans="1:9" s="15" customFormat="1" ht="24" customHeight="1">
      <c r="A313" s="110"/>
      <c r="B313" s="82"/>
      <c r="C313" s="109" t="s">
        <v>457</v>
      </c>
      <c r="D313" s="23" t="s">
        <v>155</v>
      </c>
      <c r="E313" s="24"/>
      <c r="F313" s="24"/>
      <c r="G313" s="24"/>
      <c r="H313" s="25">
        <f>SUM(H314:H316)</f>
        <v>401.55700000000002</v>
      </c>
      <c r="I313" s="25">
        <f>SUM(I314:I316)</f>
        <v>401.55700000000002</v>
      </c>
    </row>
    <row r="314" spans="1:9" s="15" customFormat="1" ht="29.25" customHeight="1">
      <c r="A314" s="110"/>
      <c r="B314" s="82" t="s">
        <v>371</v>
      </c>
      <c r="C314" s="110"/>
      <c r="D314" s="23" t="s">
        <v>155</v>
      </c>
      <c r="E314" s="24" t="s">
        <v>75</v>
      </c>
      <c r="F314" s="24" t="s">
        <v>372</v>
      </c>
      <c r="G314" s="24" t="s">
        <v>83</v>
      </c>
      <c r="H314" s="25">
        <v>13.792999999999999</v>
      </c>
      <c r="I314" s="25">
        <v>13.792999999999999</v>
      </c>
    </row>
    <row r="315" spans="1:9" s="15" customFormat="1" ht="26.4" customHeight="1">
      <c r="A315" s="110"/>
      <c r="B315" s="82" t="s">
        <v>663</v>
      </c>
      <c r="C315" s="110"/>
      <c r="D315" s="23" t="s">
        <v>155</v>
      </c>
      <c r="E315" s="24" t="s">
        <v>75</v>
      </c>
      <c r="F315" s="24" t="s">
        <v>662</v>
      </c>
      <c r="G315" s="24" t="s">
        <v>584</v>
      </c>
      <c r="H315" s="25">
        <v>77</v>
      </c>
      <c r="I315" s="25">
        <v>77</v>
      </c>
    </row>
    <row r="316" spans="1:9" s="15" customFormat="1" ht="53.4" customHeight="1">
      <c r="A316" s="110"/>
      <c r="B316" s="82" t="s">
        <v>665</v>
      </c>
      <c r="C316" s="111"/>
      <c r="D316" s="23" t="s">
        <v>155</v>
      </c>
      <c r="E316" s="24" t="s">
        <v>75</v>
      </c>
      <c r="F316" s="24" t="s">
        <v>664</v>
      </c>
      <c r="G316" s="24" t="s">
        <v>584</v>
      </c>
      <c r="H316" s="25">
        <v>310.76400000000001</v>
      </c>
      <c r="I316" s="25">
        <v>310.76400000000001</v>
      </c>
    </row>
    <row r="317" spans="1:9" s="15" customFormat="1" ht="18" customHeight="1">
      <c r="A317" s="110"/>
      <c r="B317" s="82"/>
      <c r="C317" s="109" t="s">
        <v>132</v>
      </c>
      <c r="D317" s="23" t="s">
        <v>59</v>
      </c>
      <c r="E317" s="24"/>
      <c r="F317" s="24"/>
      <c r="G317" s="24"/>
      <c r="H317" s="25">
        <f t="shared" ref="H317:I317" si="16">H318+H319</f>
        <v>100</v>
      </c>
      <c r="I317" s="25">
        <f t="shared" si="16"/>
        <v>100</v>
      </c>
    </row>
    <row r="318" spans="1:9" s="15" customFormat="1" ht="28.2" customHeight="1">
      <c r="A318" s="110"/>
      <c r="B318" s="82" t="s">
        <v>369</v>
      </c>
      <c r="C318" s="110"/>
      <c r="D318" s="23" t="s">
        <v>59</v>
      </c>
      <c r="E318" s="24" t="s">
        <v>75</v>
      </c>
      <c r="F318" s="24" t="s">
        <v>370</v>
      </c>
      <c r="G318" s="24" t="s">
        <v>63</v>
      </c>
      <c r="H318" s="25"/>
      <c r="I318" s="25"/>
    </row>
    <row r="319" spans="1:9" s="15" customFormat="1" ht="28.2" customHeight="1">
      <c r="A319" s="111"/>
      <c r="B319" s="82" t="s">
        <v>667</v>
      </c>
      <c r="C319" s="111"/>
      <c r="D319" s="23" t="s">
        <v>59</v>
      </c>
      <c r="E319" s="24" t="s">
        <v>75</v>
      </c>
      <c r="F319" s="24" t="s">
        <v>666</v>
      </c>
      <c r="G319" s="24" t="s">
        <v>573</v>
      </c>
      <c r="H319" s="25">
        <v>100</v>
      </c>
      <c r="I319" s="25">
        <v>100</v>
      </c>
    </row>
    <row r="320" spans="1:9" s="15" customFormat="1" ht="12.75" customHeight="1">
      <c r="A320" s="109" t="s">
        <v>387</v>
      </c>
      <c r="B320" s="82"/>
      <c r="C320" s="82" t="s">
        <v>57</v>
      </c>
      <c r="D320" s="23"/>
      <c r="E320" s="24"/>
      <c r="F320" s="24"/>
      <c r="G320" s="24"/>
      <c r="H320" s="105">
        <f>H321+H329</f>
        <v>146</v>
      </c>
      <c r="I320" s="105">
        <f>I321+I329</f>
        <v>146</v>
      </c>
    </row>
    <row r="321" spans="1:9" s="15" customFormat="1" ht="21" customHeight="1">
      <c r="A321" s="110"/>
      <c r="B321" s="82"/>
      <c r="C321" s="109" t="s">
        <v>350</v>
      </c>
      <c r="D321" s="23" t="s">
        <v>347</v>
      </c>
      <c r="E321" s="24"/>
      <c r="F321" s="24"/>
      <c r="G321" s="24"/>
      <c r="H321" s="25">
        <f>SUM(H322:H328)</f>
        <v>6</v>
      </c>
      <c r="I321" s="25">
        <f>SUM(I322:I328)</f>
        <v>6</v>
      </c>
    </row>
    <row r="322" spans="1:9" s="15" customFormat="1" ht="42" customHeight="1">
      <c r="A322" s="110"/>
      <c r="B322" s="82" t="s">
        <v>388</v>
      </c>
      <c r="C322" s="110"/>
      <c r="D322" s="23" t="s">
        <v>347</v>
      </c>
      <c r="E322" s="24" t="s">
        <v>75</v>
      </c>
      <c r="F322" s="24" t="s">
        <v>389</v>
      </c>
      <c r="G322" s="24" t="s">
        <v>63</v>
      </c>
      <c r="H322" s="25"/>
      <c r="I322" s="25"/>
    </row>
    <row r="323" spans="1:9" s="15" customFormat="1" ht="28.2" customHeight="1">
      <c r="A323" s="110"/>
      <c r="B323" s="82" t="s">
        <v>390</v>
      </c>
      <c r="C323" s="110"/>
      <c r="D323" s="23" t="s">
        <v>347</v>
      </c>
      <c r="E323" s="24" t="s">
        <v>75</v>
      </c>
      <c r="F323" s="24" t="s">
        <v>391</v>
      </c>
      <c r="G323" s="24" t="s">
        <v>63</v>
      </c>
      <c r="H323" s="25"/>
      <c r="I323" s="25"/>
    </row>
    <row r="324" spans="1:9" s="15" customFormat="1" ht="40.799999999999997" customHeight="1">
      <c r="A324" s="110"/>
      <c r="B324" s="82" t="s">
        <v>392</v>
      </c>
      <c r="C324" s="110"/>
      <c r="D324" s="23" t="s">
        <v>347</v>
      </c>
      <c r="E324" s="24" t="s">
        <v>75</v>
      </c>
      <c r="F324" s="24" t="s">
        <v>393</v>
      </c>
      <c r="G324" s="24" t="s">
        <v>584</v>
      </c>
      <c r="H324" s="25">
        <v>6</v>
      </c>
      <c r="I324" s="25">
        <v>6</v>
      </c>
    </row>
    <row r="325" spans="1:9" s="15" customFormat="1" ht="27.6" customHeight="1">
      <c r="A325" s="110"/>
      <c r="B325" s="82" t="s">
        <v>394</v>
      </c>
      <c r="C325" s="110"/>
      <c r="D325" s="23" t="s">
        <v>347</v>
      </c>
      <c r="E325" s="24" t="s">
        <v>75</v>
      </c>
      <c r="F325" s="24" t="s">
        <v>395</v>
      </c>
      <c r="G325" s="24" t="s">
        <v>141</v>
      </c>
      <c r="H325" s="25"/>
      <c r="I325" s="25"/>
    </row>
    <row r="326" spans="1:9" s="15" customFormat="1" ht="27.6" customHeight="1">
      <c r="A326" s="110"/>
      <c r="B326" s="82" t="s">
        <v>396</v>
      </c>
      <c r="C326" s="110"/>
      <c r="D326" s="23" t="s">
        <v>347</v>
      </c>
      <c r="E326" s="24" t="s">
        <v>75</v>
      </c>
      <c r="F326" s="24" t="s">
        <v>397</v>
      </c>
      <c r="G326" s="24" t="s">
        <v>141</v>
      </c>
      <c r="H326" s="25"/>
      <c r="I326" s="25"/>
    </row>
    <row r="327" spans="1:9" s="15" customFormat="1" ht="40.799999999999997" customHeight="1">
      <c r="A327" s="110"/>
      <c r="B327" s="82" t="s">
        <v>398</v>
      </c>
      <c r="C327" s="110"/>
      <c r="D327" s="23" t="s">
        <v>347</v>
      </c>
      <c r="E327" s="24" t="s">
        <v>75</v>
      </c>
      <c r="F327" s="24" t="s">
        <v>399</v>
      </c>
      <c r="G327" s="24" t="s">
        <v>63</v>
      </c>
      <c r="H327" s="25"/>
      <c r="I327" s="25"/>
    </row>
    <row r="328" spans="1:9" s="15" customFormat="1" ht="41.4" customHeight="1">
      <c r="A328" s="110"/>
      <c r="B328" s="82" t="s">
        <v>400</v>
      </c>
      <c r="C328" s="111"/>
      <c r="D328" s="23" t="s">
        <v>347</v>
      </c>
      <c r="E328" s="24" t="s">
        <v>75</v>
      </c>
      <c r="F328" s="24" t="s">
        <v>401</v>
      </c>
      <c r="G328" s="24" t="s">
        <v>63</v>
      </c>
      <c r="H328" s="25"/>
      <c r="I328" s="25"/>
    </row>
    <row r="329" spans="1:9" s="15" customFormat="1" ht="22.2" customHeight="1">
      <c r="A329" s="110"/>
      <c r="B329" s="82"/>
      <c r="C329" s="109" t="s">
        <v>457</v>
      </c>
      <c r="D329" s="23" t="s">
        <v>155</v>
      </c>
      <c r="E329" s="24"/>
      <c r="F329" s="24"/>
      <c r="G329" s="24"/>
      <c r="H329" s="25">
        <f>SUM(H330:H332)</f>
        <v>140</v>
      </c>
      <c r="I329" s="25">
        <f>SUM(I330:I332)</f>
        <v>140</v>
      </c>
    </row>
    <row r="330" spans="1:9" s="15" customFormat="1" ht="39.6" customHeight="1">
      <c r="A330" s="110"/>
      <c r="B330" s="82" t="s">
        <v>392</v>
      </c>
      <c r="C330" s="110"/>
      <c r="D330" s="23" t="s">
        <v>155</v>
      </c>
      <c r="E330" s="24" t="s">
        <v>75</v>
      </c>
      <c r="F330" s="24" t="s">
        <v>393</v>
      </c>
      <c r="G330" s="24" t="s">
        <v>584</v>
      </c>
      <c r="H330" s="25">
        <v>60</v>
      </c>
      <c r="I330" s="25">
        <v>60</v>
      </c>
    </row>
    <row r="331" spans="1:9" s="15" customFormat="1" ht="28.8" customHeight="1">
      <c r="A331" s="110"/>
      <c r="B331" s="82" t="s">
        <v>394</v>
      </c>
      <c r="C331" s="110"/>
      <c r="D331" s="23" t="s">
        <v>155</v>
      </c>
      <c r="E331" s="24" t="s">
        <v>75</v>
      </c>
      <c r="F331" s="24" t="s">
        <v>395</v>
      </c>
      <c r="G331" s="24" t="s">
        <v>584</v>
      </c>
      <c r="H331" s="25">
        <v>50</v>
      </c>
      <c r="I331" s="25">
        <v>50</v>
      </c>
    </row>
    <row r="332" spans="1:9" s="15" customFormat="1" ht="28.8" customHeight="1">
      <c r="A332" s="111"/>
      <c r="B332" s="82" t="s">
        <v>396</v>
      </c>
      <c r="C332" s="111"/>
      <c r="D332" s="23" t="s">
        <v>155</v>
      </c>
      <c r="E332" s="24" t="s">
        <v>75</v>
      </c>
      <c r="F332" s="24" t="s">
        <v>397</v>
      </c>
      <c r="G332" s="24" t="s">
        <v>584</v>
      </c>
      <c r="H332" s="25">
        <v>30</v>
      </c>
      <c r="I332" s="25">
        <v>30</v>
      </c>
    </row>
    <row r="333" spans="1:9" s="93" customFormat="1" ht="24" customHeight="1">
      <c r="A333" s="166" t="s">
        <v>402</v>
      </c>
      <c r="B333" s="167"/>
      <c r="C333" s="90" t="s">
        <v>57</v>
      </c>
      <c r="D333" s="91"/>
      <c r="E333" s="91"/>
      <c r="F333" s="91"/>
      <c r="G333" s="91"/>
      <c r="H333" s="92">
        <f>H334</f>
        <v>20282.385490000001</v>
      </c>
      <c r="I333" s="92">
        <f>I334</f>
        <v>20199.292620000004</v>
      </c>
    </row>
    <row r="334" spans="1:9" s="93" customFormat="1" ht="67.5" customHeight="1">
      <c r="A334" s="166"/>
      <c r="B334" s="167"/>
      <c r="C334" s="90" t="s">
        <v>403</v>
      </c>
      <c r="D334" s="91" t="s">
        <v>347</v>
      </c>
      <c r="E334" s="91"/>
      <c r="F334" s="91"/>
      <c r="G334" s="91"/>
      <c r="H334" s="94">
        <f>H335+H337+H339+H341+H346+H349+H351+H344</f>
        <v>20282.385490000001</v>
      </c>
      <c r="I334" s="94">
        <f t="shared" ref="I334" si="17">I335+I337+I339+I341+I346+I349+I351+I344</f>
        <v>20199.292620000004</v>
      </c>
    </row>
    <row r="335" spans="1:9" s="15" customFormat="1" ht="19.2" customHeight="1">
      <c r="A335" s="109" t="s">
        <v>130</v>
      </c>
      <c r="B335" s="109" t="s">
        <v>30</v>
      </c>
      <c r="C335" s="82" t="s">
        <v>57</v>
      </c>
      <c r="D335" s="23"/>
      <c r="E335" s="23"/>
      <c r="F335" s="23"/>
      <c r="G335" s="23"/>
      <c r="H335" s="105">
        <f>H336</f>
        <v>319.44778000000002</v>
      </c>
      <c r="I335" s="105">
        <f>I336</f>
        <v>319.44778000000002</v>
      </c>
    </row>
    <row r="336" spans="1:9" s="15" customFormat="1" ht="43.2" customHeight="1">
      <c r="A336" s="110"/>
      <c r="B336" s="111"/>
      <c r="C336" s="82" t="s">
        <v>403</v>
      </c>
      <c r="D336" s="23" t="s">
        <v>347</v>
      </c>
      <c r="E336" s="23" t="s">
        <v>64</v>
      </c>
      <c r="F336" s="23" t="s">
        <v>404</v>
      </c>
      <c r="G336" s="23" t="s">
        <v>570</v>
      </c>
      <c r="H336" s="25">
        <v>319.44778000000002</v>
      </c>
      <c r="I336" s="25">
        <v>319.44778000000002</v>
      </c>
    </row>
    <row r="337" spans="1:9" s="15" customFormat="1" ht="12.75" customHeight="1">
      <c r="A337" s="109" t="s">
        <v>135</v>
      </c>
      <c r="B337" s="109" t="s">
        <v>68</v>
      </c>
      <c r="C337" s="82" t="s">
        <v>57</v>
      </c>
      <c r="D337" s="23"/>
      <c r="E337" s="23"/>
      <c r="F337" s="23"/>
      <c r="G337" s="23"/>
      <c r="H337" s="105">
        <f>H338</f>
        <v>69.42371</v>
      </c>
      <c r="I337" s="105">
        <f>I338</f>
        <v>69.42371</v>
      </c>
    </row>
    <row r="338" spans="1:9" s="15" customFormat="1" ht="39.6">
      <c r="A338" s="110"/>
      <c r="B338" s="111"/>
      <c r="C338" s="82" t="s">
        <v>403</v>
      </c>
      <c r="D338" s="23" t="s">
        <v>347</v>
      </c>
      <c r="E338" s="23" t="s">
        <v>64</v>
      </c>
      <c r="F338" s="23" t="s">
        <v>405</v>
      </c>
      <c r="G338" s="23" t="s">
        <v>570</v>
      </c>
      <c r="H338" s="25">
        <v>69.42371</v>
      </c>
      <c r="I338" s="25">
        <v>69.42371</v>
      </c>
    </row>
    <row r="339" spans="1:9" s="15" customFormat="1" ht="19.2" customHeight="1">
      <c r="A339" s="109" t="s">
        <v>138</v>
      </c>
      <c r="B339" s="109" t="s">
        <v>406</v>
      </c>
      <c r="C339" s="82" t="s">
        <v>57</v>
      </c>
      <c r="D339" s="23"/>
      <c r="E339" s="23"/>
      <c r="F339" s="23"/>
      <c r="G339" s="23"/>
      <c r="H339" s="105">
        <f>H340</f>
        <v>0</v>
      </c>
      <c r="I339" s="105">
        <f>I340</f>
        <v>0</v>
      </c>
    </row>
    <row r="340" spans="1:9" s="15" customFormat="1" ht="63" customHeight="1">
      <c r="A340" s="110"/>
      <c r="B340" s="111"/>
      <c r="C340" s="82" t="s">
        <v>403</v>
      </c>
      <c r="D340" s="23" t="s">
        <v>347</v>
      </c>
      <c r="E340" s="23" t="s">
        <v>407</v>
      </c>
      <c r="F340" s="23" t="s">
        <v>408</v>
      </c>
      <c r="G340" s="23" t="s">
        <v>63</v>
      </c>
      <c r="H340" s="25"/>
      <c r="I340" s="25"/>
    </row>
    <row r="341" spans="1:9" s="15" customFormat="1" ht="12.75" customHeight="1">
      <c r="A341" s="109" t="s">
        <v>142</v>
      </c>
      <c r="B341" s="109" t="s">
        <v>40</v>
      </c>
      <c r="C341" s="82" t="s">
        <v>57</v>
      </c>
      <c r="D341" s="23"/>
      <c r="E341" s="23"/>
      <c r="F341" s="23"/>
      <c r="G341" s="23"/>
      <c r="H341" s="105">
        <f>H342+H343</f>
        <v>19891.034359999998</v>
      </c>
      <c r="I341" s="105">
        <f>I342+I343</f>
        <v>19807.941490000001</v>
      </c>
    </row>
    <row r="342" spans="1:9" s="15" customFormat="1" ht="31.8" customHeight="1">
      <c r="A342" s="110"/>
      <c r="B342" s="110"/>
      <c r="C342" s="109" t="s">
        <v>403</v>
      </c>
      <c r="D342" s="23" t="s">
        <v>347</v>
      </c>
      <c r="E342" s="23" t="s">
        <v>64</v>
      </c>
      <c r="F342" s="23" t="s">
        <v>409</v>
      </c>
      <c r="G342" s="23" t="s">
        <v>570</v>
      </c>
      <c r="H342" s="25">
        <v>7479.9813599999998</v>
      </c>
      <c r="I342" s="25">
        <v>7396.8884900000003</v>
      </c>
    </row>
    <row r="343" spans="1:9" s="15" customFormat="1" ht="16.8" customHeight="1">
      <c r="A343" s="110"/>
      <c r="B343" s="111"/>
      <c r="C343" s="111"/>
      <c r="D343" s="23" t="s">
        <v>347</v>
      </c>
      <c r="E343" s="23" t="s">
        <v>407</v>
      </c>
      <c r="F343" s="23" t="s">
        <v>409</v>
      </c>
      <c r="G343" s="23" t="s">
        <v>571</v>
      </c>
      <c r="H343" s="25">
        <v>12411.053</v>
      </c>
      <c r="I343" s="25">
        <v>12411.053</v>
      </c>
    </row>
    <row r="344" spans="1:9" s="15" customFormat="1" ht="19.5" customHeight="1">
      <c r="A344" s="109" t="s">
        <v>144</v>
      </c>
      <c r="B344" s="109" t="s">
        <v>38</v>
      </c>
      <c r="C344" s="82" t="s">
        <v>57</v>
      </c>
      <c r="D344" s="23"/>
      <c r="E344" s="23"/>
      <c r="F344" s="23"/>
      <c r="G344" s="23"/>
      <c r="H344" s="105">
        <f t="shared" ref="H344:I344" si="18">H345</f>
        <v>2.4796399999999998</v>
      </c>
      <c r="I344" s="105">
        <f t="shared" si="18"/>
        <v>2.4796399999999998</v>
      </c>
    </row>
    <row r="345" spans="1:9" s="15" customFormat="1" ht="54.6" customHeight="1">
      <c r="A345" s="110"/>
      <c r="B345" s="110"/>
      <c r="C345" s="83" t="s">
        <v>403</v>
      </c>
      <c r="D345" s="23" t="s">
        <v>347</v>
      </c>
      <c r="E345" s="23" t="s">
        <v>64</v>
      </c>
      <c r="F345" s="23" t="s">
        <v>668</v>
      </c>
      <c r="G345" s="23" t="s">
        <v>570</v>
      </c>
      <c r="H345" s="25">
        <v>2.4796399999999998</v>
      </c>
      <c r="I345" s="25">
        <v>2.4796399999999998</v>
      </c>
    </row>
    <row r="346" spans="1:9" s="15" customFormat="1" ht="12.75" customHeight="1">
      <c r="A346" s="109" t="s">
        <v>146</v>
      </c>
      <c r="B346" s="109" t="s">
        <v>410</v>
      </c>
      <c r="C346" s="82" t="s">
        <v>57</v>
      </c>
      <c r="D346" s="23"/>
      <c r="E346" s="23"/>
      <c r="F346" s="23"/>
      <c r="G346" s="23"/>
      <c r="H346" s="105">
        <f>H347+H348</f>
        <v>0</v>
      </c>
      <c r="I346" s="105">
        <f>I347+I348</f>
        <v>0</v>
      </c>
    </row>
    <row r="347" spans="1:9" s="15" customFormat="1" ht="31.2" customHeight="1">
      <c r="A347" s="110"/>
      <c r="B347" s="110"/>
      <c r="C347" s="109" t="s">
        <v>403</v>
      </c>
      <c r="D347" s="23" t="s">
        <v>347</v>
      </c>
      <c r="E347" s="23" t="s">
        <v>411</v>
      </c>
      <c r="F347" s="23" t="s">
        <v>412</v>
      </c>
      <c r="G347" s="23" t="s">
        <v>140</v>
      </c>
      <c r="H347" s="25"/>
      <c r="I347" s="25"/>
    </row>
    <row r="348" spans="1:9" s="15" customFormat="1" ht="22.8" customHeight="1">
      <c r="A348" s="110"/>
      <c r="B348" s="111"/>
      <c r="C348" s="111"/>
      <c r="D348" s="23" t="s">
        <v>347</v>
      </c>
      <c r="E348" s="23" t="s">
        <v>411</v>
      </c>
      <c r="F348" s="23" t="s">
        <v>412</v>
      </c>
      <c r="G348" s="23" t="s">
        <v>141</v>
      </c>
      <c r="H348" s="25"/>
      <c r="I348" s="25"/>
    </row>
    <row r="349" spans="1:9" s="15" customFormat="1" ht="12.75" customHeight="1">
      <c r="A349" s="109" t="s">
        <v>148</v>
      </c>
      <c r="B349" s="109" t="s">
        <v>413</v>
      </c>
      <c r="C349" s="82" t="s">
        <v>57</v>
      </c>
      <c r="D349" s="23"/>
      <c r="E349" s="23"/>
      <c r="F349" s="23"/>
      <c r="G349" s="23"/>
      <c r="H349" s="105">
        <f>H350</f>
        <v>0</v>
      </c>
      <c r="I349" s="105">
        <f>I350</f>
        <v>0</v>
      </c>
    </row>
    <row r="350" spans="1:9" s="15" customFormat="1" ht="39.6">
      <c r="A350" s="110"/>
      <c r="B350" s="111"/>
      <c r="C350" s="82" t="s">
        <v>403</v>
      </c>
      <c r="D350" s="23" t="s">
        <v>347</v>
      </c>
      <c r="E350" s="23" t="s">
        <v>407</v>
      </c>
      <c r="F350" s="23" t="s">
        <v>414</v>
      </c>
      <c r="G350" s="23" t="s">
        <v>65</v>
      </c>
      <c r="H350" s="25"/>
      <c r="I350" s="25"/>
    </row>
    <row r="351" spans="1:9" s="15" customFormat="1" ht="18.75" customHeight="1">
      <c r="A351" s="109" t="s">
        <v>150</v>
      </c>
      <c r="B351" s="109" t="s">
        <v>415</v>
      </c>
      <c r="C351" s="82" t="s">
        <v>57</v>
      </c>
      <c r="D351" s="23"/>
      <c r="E351" s="23"/>
      <c r="F351" s="23"/>
      <c r="G351" s="23"/>
      <c r="H351" s="105"/>
      <c r="I351" s="105"/>
    </row>
    <row r="352" spans="1:9" s="15" customFormat="1" ht="47.4" customHeight="1">
      <c r="A352" s="110"/>
      <c r="B352" s="111"/>
      <c r="C352" s="82" t="s">
        <v>403</v>
      </c>
      <c r="D352" s="23" t="s">
        <v>347</v>
      </c>
      <c r="E352" s="23" t="s">
        <v>64</v>
      </c>
      <c r="F352" s="23" t="s">
        <v>416</v>
      </c>
      <c r="G352" s="23" t="s">
        <v>63</v>
      </c>
      <c r="H352" s="25"/>
      <c r="I352" s="25"/>
    </row>
    <row r="353" spans="1:9" s="93" customFormat="1" ht="27" customHeight="1">
      <c r="A353" s="172" t="s">
        <v>417</v>
      </c>
      <c r="B353" s="175"/>
      <c r="C353" s="90" t="s">
        <v>57</v>
      </c>
      <c r="D353" s="91"/>
      <c r="E353" s="91"/>
      <c r="F353" s="91"/>
      <c r="G353" s="91"/>
      <c r="H353" s="92">
        <f>H355+H356</f>
        <v>1602.2250000000001</v>
      </c>
      <c r="I353" s="92">
        <f t="shared" ref="I353" si="19">I355+I356</f>
        <v>1596.79576</v>
      </c>
    </row>
    <row r="354" spans="1:9" s="93" customFormat="1" ht="15.75" customHeight="1">
      <c r="A354" s="173"/>
      <c r="B354" s="176"/>
      <c r="C354" s="90" t="s">
        <v>250</v>
      </c>
      <c r="D354" s="91"/>
      <c r="E354" s="91"/>
      <c r="F354" s="91"/>
      <c r="G354" s="91"/>
      <c r="H354" s="94"/>
      <c r="I354" s="94"/>
    </row>
    <row r="355" spans="1:9" s="93" customFormat="1" ht="32.25" customHeight="1">
      <c r="A355" s="173"/>
      <c r="B355" s="176"/>
      <c r="C355" s="90" t="s">
        <v>346</v>
      </c>
      <c r="D355" s="95" t="s">
        <v>347</v>
      </c>
      <c r="E355" s="91"/>
      <c r="F355" s="91"/>
      <c r="G355" s="91"/>
      <c r="H355" s="94">
        <f>H357+H359</f>
        <v>1587.2250000000001</v>
      </c>
      <c r="I355" s="94">
        <f>I357+I359</f>
        <v>1581.79576</v>
      </c>
    </row>
    <row r="356" spans="1:9" s="93" customFormat="1" ht="48.75" customHeight="1">
      <c r="A356" s="174"/>
      <c r="B356" s="177"/>
      <c r="C356" s="90" t="s">
        <v>132</v>
      </c>
      <c r="D356" s="95" t="s">
        <v>59</v>
      </c>
      <c r="E356" s="91"/>
      <c r="F356" s="91"/>
      <c r="G356" s="91"/>
      <c r="H356" s="94">
        <f t="shared" ref="H356:I356" si="20">H362</f>
        <v>15</v>
      </c>
      <c r="I356" s="94">
        <f t="shared" si="20"/>
        <v>15</v>
      </c>
    </row>
    <row r="357" spans="1:9" s="15" customFormat="1" ht="19.5" customHeight="1">
      <c r="A357" s="109" t="s">
        <v>130</v>
      </c>
      <c r="B357" s="106" t="s">
        <v>40</v>
      </c>
      <c r="C357" s="82" t="s">
        <v>57</v>
      </c>
      <c r="D357" s="23"/>
      <c r="E357" s="23"/>
      <c r="F357" s="23"/>
      <c r="G357" s="23"/>
      <c r="H357" s="105">
        <f>H358</f>
        <v>1364.2560000000001</v>
      </c>
      <c r="I357" s="105">
        <f>I358</f>
        <v>1364.2560000000001</v>
      </c>
    </row>
    <row r="358" spans="1:9" s="15" customFormat="1" ht="37.5" customHeight="1">
      <c r="A358" s="110"/>
      <c r="B358" s="106"/>
      <c r="C358" s="82" t="s">
        <v>350</v>
      </c>
      <c r="D358" s="23" t="s">
        <v>347</v>
      </c>
      <c r="E358" s="23" t="s">
        <v>418</v>
      </c>
      <c r="F358" s="23" t="s">
        <v>419</v>
      </c>
      <c r="G358" s="23" t="s">
        <v>593</v>
      </c>
      <c r="H358" s="25">
        <v>1364.2560000000001</v>
      </c>
      <c r="I358" s="25">
        <v>1364.2560000000001</v>
      </c>
    </row>
    <row r="359" spans="1:9" s="15" customFormat="1" ht="21" customHeight="1">
      <c r="A359" s="109" t="s">
        <v>135</v>
      </c>
      <c r="B359" s="106" t="s">
        <v>40</v>
      </c>
      <c r="C359" s="82" t="s">
        <v>57</v>
      </c>
      <c r="D359" s="23"/>
      <c r="E359" s="23"/>
      <c r="F359" s="23"/>
      <c r="G359" s="23"/>
      <c r="H359" s="105">
        <f>H360</f>
        <v>222.96899999999999</v>
      </c>
      <c r="I359" s="105">
        <f>I360</f>
        <v>217.53976</v>
      </c>
    </row>
    <row r="360" spans="1:9" s="15" customFormat="1" ht="51" customHeight="1">
      <c r="A360" s="110"/>
      <c r="B360" s="106"/>
      <c r="C360" s="82" t="s">
        <v>350</v>
      </c>
      <c r="D360" s="23" t="s">
        <v>347</v>
      </c>
      <c r="E360" s="23" t="s">
        <v>418</v>
      </c>
      <c r="F360" s="23" t="s">
        <v>419</v>
      </c>
      <c r="G360" s="23" t="s">
        <v>584</v>
      </c>
      <c r="H360" s="25">
        <v>222.96899999999999</v>
      </c>
      <c r="I360" s="25">
        <v>217.53976</v>
      </c>
    </row>
    <row r="361" spans="1:9" s="15" customFormat="1" ht="25.5" customHeight="1">
      <c r="A361" s="109" t="s">
        <v>670</v>
      </c>
      <c r="B361" s="112" t="s">
        <v>671</v>
      </c>
      <c r="C361" s="82" t="s">
        <v>57</v>
      </c>
      <c r="D361" s="23"/>
      <c r="E361" s="23"/>
      <c r="F361" s="23"/>
      <c r="G361" s="23"/>
      <c r="H361" s="105">
        <f>H362</f>
        <v>15</v>
      </c>
      <c r="I361" s="105">
        <f>I362</f>
        <v>15</v>
      </c>
    </row>
    <row r="362" spans="1:9" s="15" customFormat="1" ht="60.75" customHeight="1">
      <c r="A362" s="110"/>
      <c r="B362" s="114"/>
      <c r="C362" s="82" t="s">
        <v>58</v>
      </c>
      <c r="D362" s="23" t="s">
        <v>59</v>
      </c>
      <c r="E362" s="23" t="s">
        <v>454</v>
      </c>
      <c r="F362" s="23" t="s">
        <v>669</v>
      </c>
      <c r="G362" s="23" t="s">
        <v>573</v>
      </c>
      <c r="H362" s="25">
        <v>15</v>
      </c>
      <c r="I362" s="25">
        <v>15</v>
      </c>
    </row>
    <row r="363" spans="1:9" s="93" customFormat="1" ht="27" customHeight="1">
      <c r="A363" s="178" t="s">
        <v>420</v>
      </c>
      <c r="B363" s="167"/>
      <c r="C363" s="90" t="s">
        <v>57</v>
      </c>
      <c r="D363" s="91"/>
      <c r="E363" s="91"/>
      <c r="F363" s="91"/>
      <c r="G363" s="91"/>
      <c r="H363" s="92">
        <f>H365</f>
        <v>10949.12096</v>
      </c>
      <c r="I363" s="92">
        <f>I365</f>
        <v>9963.8371999999999</v>
      </c>
    </row>
    <row r="364" spans="1:9" s="93" customFormat="1" ht="18" customHeight="1">
      <c r="A364" s="179"/>
      <c r="B364" s="167"/>
      <c r="C364" s="90" t="s">
        <v>131</v>
      </c>
      <c r="D364" s="91"/>
      <c r="E364" s="91"/>
      <c r="F364" s="91"/>
      <c r="G364" s="91"/>
      <c r="H364" s="94"/>
      <c r="I364" s="94"/>
    </row>
    <row r="365" spans="1:9" s="93" customFormat="1" ht="60" customHeight="1">
      <c r="A365" s="180"/>
      <c r="B365" s="167"/>
      <c r="C365" s="90" t="s">
        <v>346</v>
      </c>
      <c r="D365" s="95" t="s">
        <v>347</v>
      </c>
      <c r="E365" s="91"/>
      <c r="F365" s="91"/>
      <c r="G365" s="91"/>
      <c r="H365" s="94">
        <f>H366+H370+H372+H376+H378+H380+H386+H388+H368+H374+H382+H384+H390</f>
        <v>10949.12096</v>
      </c>
      <c r="I365" s="94">
        <f t="shared" ref="I365" si="21">I366+I370+I372+I376+I378+I380+I386+I388+I368+I374+I382+I384+I390</f>
        <v>9963.8371999999999</v>
      </c>
    </row>
    <row r="366" spans="1:9" s="15" customFormat="1" ht="12.75" customHeight="1">
      <c r="A366" s="109" t="s">
        <v>130</v>
      </c>
      <c r="B366" s="106" t="s">
        <v>421</v>
      </c>
      <c r="C366" s="82" t="s">
        <v>57</v>
      </c>
      <c r="D366" s="23"/>
      <c r="E366" s="23"/>
      <c r="F366" s="23"/>
      <c r="G366" s="23"/>
      <c r="H366" s="105">
        <f>H367</f>
        <v>64</v>
      </c>
      <c r="I366" s="105">
        <f>I367</f>
        <v>64</v>
      </c>
    </row>
    <row r="367" spans="1:9" s="15" customFormat="1" ht="71.400000000000006" customHeight="1">
      <c r="A367" s="110"/>
      <c r="B367" s="106"/>
      <c r="C367" s="82" t="s">
        <v>350</v>
      </c>
      <c r="D367" s="23" t="s">
        <v>347</v>
      </c>
      <c r="E367" s="23" t="s">
        <v>422</v>
      </c>
      <c r="F367" s="23" t="s">
        <v>423</v>
      </c>
      <c r="G367" s="23" t="s">
        <v>353</v>
      </c>
      <c r="H367" s="25">
        <v>64</v>
      </c>
      <c r="I367" s="25">
        <v>64</v>
      </c>
    </row>
    <row r="368" spans="1:9" s="15" customFormat="1" ht="12.75" customHeight="1">
      <c r="A368" s="109" t="s">
        <v>135</v>
      </c>
      <c r="B368" s="106" t="s">
        <v>674</v>
      </c>
      <c r="C368" s="82" t="s">
        <v>57</v>
      </c>
      <c r="D368" s="23"/>
      <c r="E368" s="23"/>
      <c r="F368" s="23"/>
      <c r="G368" s="23"/>
      <c r="H368" s="105">
        <f>H369</f>
        <v>1922.0916999999999</v>
      </c>
      <c r="I368" s="105">
        <f>I369</f>
        <v>1685.97865</v>
      </c>
    </row>
    <row r="369" spans="1:9" s="15" customFormat="1" ht="43.2" customHeight="1">
      <c r="A369" s="110"/>
      <c r="B369" s="106"/>
      <c r="C369" s="82" t="s">
        <v>350</v>
      </c>
      <c r="D369" s="23" t="s">
        <v>347</v>
      </c>
      <c r="E369" s="23" t="s">
        <v>78</v>
      </c>
      <c r="F369" s="23" t="s">
        <v>673</v>
      </c>
      <c r="G369" s="23" t="s">
        <v>672</v>
      </c>
      <c r="H369" s="25">
        <v>1922.0916999999999</v>
      </c>
      <c r="I369" s="25">
        <v>1685.97865</v>
      </c>
    </row>
    <row r="370" spans="1:9" s="15" customFormat="1" ht="12.75" customHeight="1">
      <c r="A370" s="109" t="s">
        <v>138</v>
      </c>
      <c r="B370" s="106" t="s">
        <v>424</v>
      </c>
      <c r="C370" s="82" t="s">
        <v>57</v>
      </c>
      <c r="D370" s="23"/>
      <c r="E370" s="23"/>
      <c r="F370" s="23"/>
      <c r="G370" s="23"/>
      <c r="H370" s="105">
        <f>H371</f>
        <v>245.3</v>
      </c>
      <c r="I370" s="105">
        <f>I371</f>
        <v>245.3</v>
      </c>
    </row>
    <row r="371" spans="1:9" s="15" customFormat="1" ht="43.8" customHeight="1">
      <c r="A371" s="110"/>
      <c r="B371" s="106"/>
      <c r="C371" s="82" t="s">
        <v>350</v>
      </c>
      <c r="D371" s="23" t="s">
        <v>347</v>
      </c>
      <c r="E371" s="23" t="s">
        <v>422</v>
      </c>
      <c r="F371" s="23" t="s">
        <v>425</v>
      </c>
      <c r="G371" s="23" t="s">
        <v>353</v>
      </c>
      <c r="H371" s="25">
        <v>245.3</v>
      </c>
      <c r="I371" s="25">
        <v>245.3</v>
      </c>
    </row>
    <row r="372" spans="1:9" s="15" customFormat="1" ht="12.75" customHeight="1">
      <c r="A372" s="109" t="s">
        <v>142</v>
      </c>
      <c r="B372" s="106" t="s">
        <v>426</v>
      </c>
      <c r="C372" s="82" t="s">
        <v>57</v>
      </c>
      <c r="D372" s="23"/>
      <c r="E372" s="23"/>
      <c r="F372" s="23"/>
      <c r="G372" s="23"/>
      <c r="H372" s="105">
        <f>H373</f>
        <v>63.406199999999998</v>
      </c>
      <c r="I372" s="105">
        <f>I373</f>
        <v>63.406199999999998</v>
      </c>
    </row>
    <row r="373" spans="1:9" s="15" customFormat="1" ht="42.75" customHeight="1">
      <c r="A373" s="110"/>
      <c r="B373" s="106"/>
      <c r="C373" s="82" t="s">
        <v>350</v>
      </c>
      <c r="D373" s="23" t="s">
        <v>347</v>
      </c>
      <c r="E373" s="23" t="s">
        <v>351</v>
      </c>
      <c r="F373" s="23" t="s">
        <v>427</v>
      </c>
      <c r="G373" s="23" t="s">
        <v>584</v>
      </c>
      <c r="H373" s="25">
        <v>63.406199999999998</v>
      </c>
      <c r="I373" s="25">
        <v>63.406199999999998</v>
      </c>
    </row>
    <row r="374" spans="1:9" s="15" customFormat="1" ht="12.75" customHeight="1">
      <c r="A374" s="109" t="s">
        <v>144</v>
      </c>
      <c r="B374" s="106" t="s">
        <v>676</v>
      </c>
      <c r="C374" s="82" t="s">
        <v>57</v>
      </c>
      <c r="D374" s="23"/>
      <c r="E374" s="23"/>
      <c r="F374" s="23"/>
      <c r="G374" s="23"/>
      <c r="H374" s="105">
        <f>H375</f>
        <v>4423.7722999999996</v>
      </c>
      <c r="I374" s="105">
        <f>I375</f>
        <v>3880.3485500000002</v>
      </c>
    </row>
    <row r="375" spans="1:9" s="15" customFormat="1" ht="40.200000000000003" customHeight="1">
      <c r="A375" s="110"/>
      <c r="B375" s="106"/>
      <c r="C375" s="82" t="s">
        <v>350</v>
      </c>
      <c r="D375" s="23" t="s">
        <v>347</v>
      </c>
      <c r="E375" s="23" t="s">
        <v>78</v>
      </c>
      <c r="F375" s="23" t="s">
        <v>675</v>
      </c>
      <c r="G375" s="23" t="s">
        <v>672</v>
      </c>
      <c r="H375" s="25">
        <v>4423.7722999999996</v>
      </c>
      <c r="I375" s="25">
        <v>3880.3485500000002</v>
      </c>
    </row>
    <row r="376" spans="1:9" s="15" customFormat="1" ht="12.75" customHeight="1">
      <c r="A376" s="109" t="s">
        <v>146</v>
      </c>
      <c r="B376" s="106" t="s">
        <v>428</v>
      </c>
      <c r="C376" s="82" t="s">
        <v>57</v>
      </c>
      <c r="D376" s="23"/>
      <c r="E376" s="23"/>
      <c r="F376" s="23"/>
      <c r="G376" s="23"/>
      <c r="H376" s="105">
        <f>H377</f>
        <v>2239.5804000000003</v>
      </c>
      <c r="I376" s="105">
        <f>I377</f>
        <v>2239.5804000000003</v>
      </c>
    </row>
    <row r="377" spans="1:9" s="15" customFormat="1" ht="40.200000000000003" customHeight="1">
      <c r="A377" s="110"/>
      <c r="B377" s="106"/>
      <c r="C377" s="82" t="s">
        <v>350</v>
      </c>
      <c r="D377" s="23" t="s">
        <v>347</v>
      </c>
      <c r="E377" s="23" t="s">
        <v>422</v>
      </c>
      <c r="F377" s="23" t="s">
        <v>429</v>
      </c>
      <c r="G377" s="23" t="s">
        <v>594</v>
      </c>
      <c r="H377" s="25">
        <f>2103.9+135.6804</f>
        <v>2239.5804000000003</v>
      </c>
      <c r="I377" s="25">
        <f>2103.9+135.6804</f>
        <v>2239.5804000000003</v>
      </c>
    </row>
    <row r="378" spans="1:9" s="15" customFormat="1" ht="12.75" customHeight="1">
      <c r="A378" s="109" t="s">
        <v>148</v>
      </c>
      <c r="B378" s="106" t="s">
        <v>428</v>
      </c>
      <c r="C378" s="82" t="s">
        <v>57</v>
      </c>
      <c r="D378" s="23"/>
      <c r="E378" s="23"/>
      <c r="F378" s="23"/>
      <c r="G378" s="23"/>
      <c r="H378" s="105">
        <f>H379</f>
        <v>324.01960000000003</v>
      </c>
      <c r="I378" s="105">
        <f>I379</f>
        <v>324.01960000000003</v>
      </c>
    </row>
    <row r="379" spans="1:9" s="15" customFormat="1" ht="43.2" customHeight="1">
      <c r="A379" s="110"/>
      <c r="B379" s="106"/>
      <c r="C379" s="82" t="s">
        <v>350</v>
      </c>
      <c r="D379" s="23" t="s">
        <v>347</v>
      </c>
      <c r="E379" s="23" t="s">
        <v>422</v>
      </c>
      <c r="F379" s="23" t="s">
        <v>429</v>
      </c>
      <c r="G379" s="23" t="s">
        <v>584</v>
      </c>
      <c r="H379" s="25">
        <v>324.01960000000003</v>
      </c>
      <c r="I379" s="25">
        <v>324.01960000000003</v>
      </c>
    </row>
    <row r="380" spans="1:9" s="15" customFormat="1" ht="12.75" customHeight="1">
      <c r="A380" s="109" t="s">
        <v>150</v>
      </c>
      <c r="B380" s="106" t="s">
        <v>430</v>
      </c>
      <c r="C380" s="82" t="s">
        <v>57</v>
      </c>
      <c r="D380" s="23"/>
      <c r="E380" s="23"/>
      <c r="F380" s="23"/>
      <c r="G380" s="23"/>
      <c r="H380" s="105">
        <f>H381</f>
        <v>704.2</v>
      </c>
      <c r="I380" s="105">
        <f>I381</f>
        <v>588.1037</v>
      </c>
    </row>
    <row r="381" spans="1:9" s="15" customFormat="1" ht="43.8" customHeight="1">
      <c r="A381" s="110"/>
      <c r="B381" s="106"/>
      <c r="C381" s="82" t="s">
        <v>350</v>
      </c>
      <c r="D381" s="23" t="s">
        <v>347</v>
      </c>
      <c r="E381" s="23" t="s">
        <v>422</v>
      </c>
      <c r="F381" s="23" t="s">
        <v>431</v>
      </c>
      <c r="G381" s="23" t="s">
        <v>584</v>
      </c>
      <c r="H381" s="25">
        <v>704.2</v>
      </c>
      <c r="I381" s="25">
        <v>588.1037</v>
      </c>
    </row>
    <row r="382" spans="1:9" s="15" customFormat="1" ht="12.75" customHeight="1">
      <c r="A382" s="109" t="s">
        <v>597</v>
      </c>
      <c r="B382" s="106" t="s">
        <v>41</v>
      </c>
      <c r="C382" s="82" t="s">
        <v>57</v>
      </c>
      <c r="D382" s="23"/>
      <c r="E382" s="23"/>
      <c r="F382" s="23"/>
      <c r="G382" s="23"/>
      <c r="H382" s="105">
        <f>H383</f>
        <v>53.45476</v>
      </c>
      <c r="I382" s="105">
        <f>I383</f>
        <v>53.453760000000003</v>
      </c>
    </row>
    <row r="383" spans="1:9" s="15" customFormat="1" ht="40.200000000000003" customHeight="1">
      <c r="A383" s="110"/>
      <c r="B383" s="106"/>
      <c r="C383" s="82" t="s">
        <v>350</v>
      </c>
      <c r="D383" s="23" t="s">
        <v>347</v>
      </c>
      <c r="E383" s="23" t="s">
        <v>422</v>
      </c>
      <c r="F383" s="23" t="s">
        <v>677</v>
      </c>
      <c r="G383" s="23" t="s">
        <v>632</v>
      </c>
      <c r="H383" s="25">
        <v>53.45476</v>
      </c>
      <c r="I383" s="25">
        <v>53.453760000000003</v>
      </c>
    </row>
    <row r="384" spans="1:9" s="15" customFormat="1" ht="12.75" customHeight="1">
      <c r="A384" s="109" t="s">
        <v>601</v>
      </c>
      <c r="B384" s="106" t="s">
        <v>680</v>
      </c>
      <c r="C384" s="82" t="s">
        <v>57</v>
      </c>
      <c r="D384" s="23"/>
      <c r="E384" s="23"/>
      <c r="F384" s="23"/>
      <c r="G384" s="23"/>
      <c r="H384" s="105">
        <f>H385</f>
        <v>3</v>
      </c>
      <c r="I384" s="105">
        <f>I385</f>
        <v>0</v>
      </c>
    </row>
    <row r="385" spans="1:9" s="15" customFormat="1" ht="40.799999999999997" customHeight="1">
      <c r="A385" s="110"/>
      <c r="B385" s="106"/>
      <c r="C385" s="82" t="s">
        <v>350</v>
      </c>
      <c r="D385" s="23" t="s">
        <v>347</v>
      </c>
      <c r="E385" s="23" t="s">
        <v>78</v>
      </c>
      <c r="F385" s="23" t="s">
        <v>678</v>
      </c>
      <c r="G385" s="23" t="s">
        <v>679</v>
      </c>
      <c r="H385" s="25">
        <v>3</v>
      </c>
      <c r="I385" s="25">
        <v>0</v>
      </c>
    </row>
    <row r="386" spans="1:9" s="15" customFormat="1" ht="12.75" customHeight="1">
      <c r="A386" s="109" t="s">
        <v>604</v>
      </c>
      <c r="B386" s="106" t="s">
        <v>432</v>
      </c>
      <c r="C386" s="82" t="s">
        <v>57</v>
      </c>
      <c r="D386" s="23"/>
      <c r="E386" s="23"/>
      <c r="F386" s="23"/>
      <c r="G386" s="23"/>
      <c r="H386" s="105">
        <f>H387</f>
        <v>200</v>
      </c>
      <c r="I386" s="105">
        <f>I387</f>
        <v>200</v>
      </c>
    </row>
    <row r="387" spans="1:9" s="15" customFormat="1" ht="46.5" customHeight="1">
      <c r="A387" s="110"/>
      <c r="B387" s="106"/>
      <c r="C387" s="82" t="s">
        <v>350</v>
      </c>
      <c r="D387" s="23" t="s">
        <v>347</v>
      </c>
      <c r="E387" s="23" t="s">
        <v>422</v>
      </c>
      <c r="F387" s="23" t="s">
        <v>433</v>
      </c>
      <c r="G387" s="23" t="s">
        <v>83</v>
      </c>
      <c r="H387" s="25">
        <v>200</v>
      </c>
      <c r="I387" s="25">
        <v>200</v>
      </c>
    </row>
    <row r="388" spans="1:9" s="15" customFormat="1" ht="12.75" customHeight="1">
      <c r="A388" s="109" t="s">
        <v>683</v>
      </c>
      <c r="B388" s="106" t="s">
        <v>434</v>
      </c>
      <c r="C388" s="82" t="s">
        <v>57</v>
      </c>
      <c r="D388" s="23"/>
      <c r="E388" s="23"/>
      <c r="F388" s="23"/>
      <c r="G388" s="23"/>
      <c r="H388" s="105">
        <f>H389</f>
        <v>1.2</v>
      </c>
      <c r="I388" s="105">
        <f>I389</f>
        <v>1.16554</v>
      </c>
    </row>
    <row r="389" spans="1:9" s="15" customFormat="1" ht="41.25" customHeight="1">
      <c r="A389" s="110"/>
      <c r="B389" s="106"/>
      <c r="C389" s="82" t="s">
        <v>350</v>
      </c>
      <c r="D389" s="23" t="s">
        <v>347</v>
      </c>
      <c r="E389" s="23" t="s">
        <v>351</v>
      </c>
      <c r="F389" s="23" t="s">
        <v>435</v>
      </c>
      <c r="G389" s="23" t="s">
        <v>584</v>
      </c>
      <c r="H389" s="25">
        <v>1.2</v>
      </c>
      <c r="I389" s="25">
        <v>1.16554</v>
      </c>
    </row>
    <row r="390" spans="1:9" s="15" customFormat="1" ht="12.75" customHeight="1">
      <c r="A390" s="106" t="s">
        <v>682</v>
      </c>
      <c r="B390" s="106" t="s">
        <v>680</v>
      </c>
      <c r="C390" s="82" t="s">
        <v>57</v>
      </c>
      <c r="D390" s="23"/>
      <c r="E390" s="23"/>
      <c r="F390" s="23"/>
      <c r="G390" s="23"/>
      <c r="H390" s="105">
        <f>H391</f>
        <v>705.096</v>
      </c>
      <c r="I390" s="105">
        <f>I391</f>
        <v>618.48080000000004</v>
      </c>
    </row>
    <row r="391" spans="1:9" s="15" customFormat="1" ht="83.25" customHeight="1">
      <c r="A391" s="106"/>
      <c r="B391" s="106"/>
      <c r="C391" s="82" t="s">
        <v>350</v>
      </c>
      <c r="D391" s="23" t="s">
        <v>347</v>
      </c>
      <c r="E391" s="23" t="s">
        <v>78</v>
      </c>
      <c r="F391" s="23" t="s">
        <v>681</v>
      </c>
      <c r="G391" s="23" t="s">
        <v>672</v>
      </c>
      <c r="H391" s="105">
        <v>705.096</v>
      </c>
      <c r="I391" s="105">
        <v>618.48080000000004</v>
      </c>
    </row>
    <row r="392" spans="1:9" s="93" customFormat="1" ht="18" customHeight="1">
      <c r="A392" s="178" t="s">
        <v>436</v>
      </c>
      <c r="B392" s="181"/>
      <c r="C392" s="90" t="s">
        <v>57</v>
      </c>
      <c r="D392" s="91"/>
      <c r="E392" s="91"/>
      <c r="F392" s="91"/>
      <c r="G392" s="91"/>
      <c r="H392" s="92">
        <f>H397+H402+H404</f>
        <v>21884.251</v>
      </c>
      <c r="I392" s="92">
        <f>I397+I402+I404</f>
        <v>18500.967819999998</v>
      </c>
    </row>
    <row r="393" spans="1:9" s="93" customFormat="1" ht="17.25" customHeight="1">
      <c r="A393" s="179"/>
      <c r="B393" s="182"/>
      <c r="C393" s="90" t="s">
        <v>131</v>
      </c>
      <c r="D393" s="95"/>
      <c r="E393" s="95"/>
      <c r="F393" s="95"/>
      <c r="G393" s="95"/>
      <c r="H393" s="94"/>
      <c r="I393" s="94"/>
    </row>
    <row r="394" spans="1:9" s="93" customFormat="1" ht="33" customHeight="1">
      <c r="A394" s="179"/>
      <c r="B394" s="182"/>
      <c r="C394" s="90" t="s">
        <v>346</v>
      </c>
      <c r="D394" s="95" t="s">
        <v>347</v>
      </c>
      <c r="E394" s="95"/>
      <c r="F394" s="95"/>
      <c r="G394" s="95"/>
      <c r="H394" s="94">
        <f>H399+H403+H406+H400+H407</f>
        <v>21779.040000000001</v>
      </c>
      <c r="I394" s="94">
        <f t="shared" ref="I394" si="22">I399+I403+I406+I400+I407</f>
        <v>18399.987819999998</v>
      </c>
    </row>
    <row r="395" spans="1:9" s="93" customFormat="1" ht="21.75" customHeight="1">
      <c r="A395" s="179"/>
      <c r="B395" s="182"/>
      <c r="C395" s="90" t="s">
        <v>437</v>
      </c>
      <c r="D395" s="95" t="s">
        <v>438</v>
      </c>
      <c r="E395" s="95"/>
      <c r="F395" s="95"/>
      <c r="G395" s="95"/>
      <c r="H395" s="94">
        <f>H401</f>
        <v>26.210999999999999</v>
      </c>
      <c r="I395" s="94">
        <f>I401</f>
        <v>21.98</v>
      </c>
    </row>
    <row r="396" spans="1:9" s="93" customFormat="1" ht="44.25" customHeight="1">
      <c r="A396" s="180"/>
      <c r="B396" s="183"/>
      <c r="C396" s="90" t="s">
        <v>439</v>
      </c>
      <c r="D396" s="95" t="s">
        <v>59</v>
      </c>
      <c r="E396" s="91"/>
      <c r="F396" s="91"/>
      <c r="G396" s="91"/>
      <c r="H396" s="94">
        <f>H408</f>
        <v>79</v>
      </c>
      <c r="I396" s="94">
        <f>I408</f>
        <v>79</v>
      </c>
    </row>
    <row r="397" spans="1:9" s="15" customFormat="1" ht="18" customHeight="1">
      <c r="A397" s="106" t="s">
        <v>440</v>
      </c>
      <c r="B397" s="82"/>
      <c r="C397" s="82" t="s">
        <v>57</v>
      </c>
      <c r="D397" s="23"/>
      <c r="E397" s="24"/>
      <c r="F397" s="24"/>
      <c r="G397" s="24"/>
      <c r="H397" s="105">
        <f>H399+H401+H400</f>
        <v>8643.7109999999993</v>
      </c>
      <c r="I397" s="105">
        <f t="shared" ref="I397" si="23">I399+I401+I400</f>
        <v>6297.7619999999997</v>
      </c>
    </row>
    <row r="398" spans="1:9" s="15" customFormat="1" ht="13.2">
      <c r="A398" s="106"/>
      <c r="B398" s="82"/>
      <c r="C398" s="82" t="s">
        <v>131</v>
      </c>
      <c r="D398" s="23"/>
      <c r="E398" s="23"/>
      <c r="F398" s="23"/>
      <c r="G398" s="23"/>
      <c r="H398" s="25"/>
      <c r="I398" s="25"/>
    </row>
    <row r="399" spans="1:9" s="15" customFormat="1" ht="55.2" customHeight="1">
      <c r="A399" s="106"/>
      <c r="B399" s="82" t="s">
        <v>441</v>
      </c>
      <c r="C399" s="82" t="s">
        <v>346</v>
      </c>
      <c r="D399" s="23" t="s">
        <v>347</v>
      </c>
      <c r="E399" s="23" t="s">
        <v>442</v>
      </c>
      <c r="F399" s="23" t="s">
        <v>443</v>
      </c>
      <c r="G399" s="23" t="s">
        <v>609</v>
      </c>
      <c r="H399" s="25">
        <v>2417.1999999999998</v>
      </c>
      <c r="I399" s="25">
        <v>2417.1999999999998</v>
      </c>
    </row>
    <row r="400" spans="1:9" s="15" customFormat="1" ht="82.2" customHeight="1">
      <c r="A400" s="106"/>
      <c r="B400" s="82" t="s">
        <v>685</v>
      </c>
      <c r="C400" s="82" t="s">
        <v>346</v>
      </c>
      <c r="D400" s="23" t="s">
        <v>347</v>
      </c>
      <c r="E400" s="23" t="s">
        <v>442</v>
      </c>
      <c r="F400" s="23" t="s">
        <v>684</v>
      </c>
      <c r="G400" s="23" t="s">
        <v>609</v>
      </c>
      <c r="H400" s="25">
        <v>6200.3</v>
      </c>
      <c r="I400" s="25">
        <v>3858.5819999999999</v>
      </c>
    </row>
    <row r="401" spans="1:9" s="15" customFormat="1" ht="53.4" customHeight="1">
      <c r="A401" s="106"/>
      <c r="B401" s="82" t="s">
        <v>444</v>
      </c>
      <c r="C401" s="82" t="s">
        <v>437</v>
      </c>
      <c r="D401" s="23" t="s">
        <v>438</v>
      </c>
      <c r="E401" s="23" t="s">
        <v>442</v>
      </c>
      <c r="F401" s="23" t="s">
        <v>445</v>
      </c>
      <c r="G401" s="23" t="s">
        <v>584</v>
      </c>
      <c r="H401" s="25">
        <v>26.210999999999999</v>
      </c>
      <c r="I401" s="25">
        <v>21.98</v>
      </c>
    </row>
    <row r="402" spans="1:9" s="15" customFormat="1" ht="22.2" customHeight="1">
      <c r="A402" s="106" t="s">
        <v>446</v>
      </c>
      <c r="B402" s="106" t="s">
        <v>447</v>
      </c>
      <c r="C402" s="82" t="s">
        <v>57</v>
      </c>
      <c r="D402" s="23"/>
      <c r="E402" s="24"/>
      <c r="F402" s="24"/>
      <c r="G402" s="24"/>
      <c r="H402" s="105">
        <f>H403</f>
        <v>13068.54</v>
      </c>
      <c r="I402" s="105">
        <f>I403</f>
        <v>12031.205819999999</v>
      </c>
    </row>
    <row r="403" spans="1:9" s="15" customFormat="1" ht="49.8" customHeight="1">
      <c r="A403" s="106"/>
      <c r="B403" s="106"/>
      <c r="C403" s="82" t="s">
        <v>350</v>
      </c>
      <c r="D403" s="23" t="s">
        <v>347</v>
      </c>
      <c r="E403" s="24" t="s">
        <v>448</v>
      </c>
      <c r="F403" s="24" t="s">
        <v>449</v>
      </c>
      <c r="G403" s="24" t="s">
        <v>353</v>
      </c>
      <c r="H403" s="25">
        <v>13068.54</v>
      </c>
      <c r="I403" s="25">
        <v>12031.205819999999</v>
      </c>
    </row>
    <row r="404" spans="1:9" s="15" customFormat="1" ht="12.75" customHeight="1">
      <c r="A404" s="109" t="s">
        <v>450</v>
      </c>
      <c r="B404" s="86"/>
      <c r="C404" s="82" t="s">
        <v>57</v>
      </c>
      <c r="D404" s="23"/>
      <c r="E404" s="23"/>
      <c r="F404" s="23"/>
      <c r="G404" s="23"/>
      <c r="H404" s="105">
        <f>H406+H408+H407</f>
        <v>172</v>
      </c>
      <c r="I404" s="105">
        <f t="shared" ref="I404" si="24">I406+I408+I407</f>
        <v>172</v>
      </c>
    </row>
    <row r="405" spans="1:9" s="15" customFormat="1" ht="13.2">
      <c r="A405" s="110"/>
      <c r="B405" s="87"/>
      <c r="C405" s="82" t="s">
        <v>250</v>
      </c>
      <c r="D405" s="23"/>
      <c r="E405" s="23"/>
      <c r="F405" s="23"/>
      <c r="G405" s="23"/>
      <c r="H405" s="25"/>
      <c r="I405" s="25"/>
    </row>
    <row r="406" spans="1:9" s="15" customFormat="1" ht="52.2" customHeight="1">
      <c r="A406" s="110"/>
      <c r="B406" s="82" t="s">
        <v>451</v>
      </c>
      <c r="C406" s="82" t="s">
        <v>346</v>
      </c>
      <c r="D406" s="23" t="s">
        <v>347</v>
      </c>
      <c r="E406" s="24" t="s">
        <v>442</v>
      </c>
      <c r="F406" s="24" t="s">
        <v>452</v>
      </c>
      <c r="G406" s="24" t="s">
        <v>161</v>
      </c>
      <c r="H406" s="25"/>
      <c r="I406" s="25"/>
    </row>
    <row r="407" spans="1:9" s="15" customFormat="1" ht="40.799999999999997" customHeight="1">
      <c r="A407" s="110"/>
      <c r="B407" s="82" t="s">
        <v>687</v>
      </c>
      <c r="C407" s="82" t="s">
        <v>346</v>
      </c>
      <c r="D407" s="23" t="s">
        <v>347</v>
      </c>
      <c r="E407" s="24" t="s">
        <v>442</v>
      </c>
      <c r="F407" s="24" t="s">
        <v>686</v>
      </c>
      <c r="G407" s="24" t="s">
        <v>609</v>
      </c>
      <c r="H407" s="25">
        <v>93</v>
      </c>
      <c r="I407" s="25">
        <v>93</v>
      </c>
    </row>
    <row r="408" spans="1:9" s="15" customFormat="1" ht="41.4" customHeight="1">
      <c r="A408" s="111"/>
      <c r="B408" s="82" t="s">
        <v>453</v>
      </c>
      <c r="C408" s="82" t="s">
        <v>439</v>
      </c>
      <c r="D408" s="23" t="s">
        <v>59</v>
      </c>
      <c r="E408" s="23" t="s">
        <v>454</v>
      </c>
      <c r="F408" s="23" t="s">
        <v>455</v>
      </c>
      <c r="G408" s="23" t="s">
        <v>573</v>
      </c>
      <c r="H408" s="25">
        <v>79</v>
      </c>
      <c r="I408" s="25">
        <v>79</v>
      </c>
    </row>
    <row r="409" spans="1:9" s="93" customFormat="1" ht="33.75" customHeight="1">
      <c r="A409" s="166" t="s">
        <v>456</v>
      </c>
      <c r="B409" s="167"/>
      <c r="C409" s="90" t="s">
        <v>57</v>
      </c>
      <c r="D409" s="91"/>
      <c r="E409" s="91"/>
      <c r="F409" s="91"/>
      <c r="G409" s="91"/>
      <c r="H409" s="92">
        <f>H411+H412+H413</f>
        <v>22107.868999999999</v>
      </c>
      <c r="I409" s="92">
        <f>I411+I412+I413</f>
        <v>22107.868999999999</v>
      </c>
    </row>
    <row r="410" spans="1:9" s="93" customFormat="1" ht="19.5" customHeight="1">
      <c r="A410" s="166"/>
      <c r="B410" s="167"/>
      <c r="C410" s="90" t="s">
        <v>250</v>
      </c>
      <c r="D410" s="91"/>
      <c r="E410" s="91"/>
      <c r="F410" s="91"/>
      <c r="G410" s="91"/>
      <c r="H410" s="94"/>
      <c r="I410" s="94"/>
    </row>
    <row r="411" spans="1:9" s="93" customFormat="1" ht="33.75" customHeight="1">
      <c r="A411" s="166"/>
      <c r="B411" s="167"/>
      <c r="C411" s="90" t="s">
        <v>346</v>
      </c>
      <c r="D411" s="95" t="s">
        <v>347</v>
      </c>
      <c r="E411" s="91"/>
      <c r="F411" s="91"/>
      <c r="G411" s="91"/>
      <c r="H411" s="94">
        <f>H416+H429+H435</f>
        <v>18579.618999999999</v>
      </c>
      <c r="I411" s="94">
        <f>I416+I429+I435</f>
        <v>18579.618999999999</v>
      </c>
    </row>
    <row r="412" spans="1:9" s="93" customFormat="1" ht="18" customHeight="1">
      <c r="A412" s="166"/>
      <c r="B412" s="167"/>
      <c r="C412" s="90" t="s">
        <v>437</v>
      </c>
      <c r="D412" s="95" t="s">
        <v>438</v>
      </c>
      <c r="E412" s="91"/>
      <c r="F412" s="91"/>
      <c r="G412" s="91"/>
      <c r="H412" s="94">
        <f>H418+H436+H437</f>
        <v>3528.25</v>
      </c>
      <c r="I412" s="94">
        <f t="shared" ref="I412" si="25">I418+I436+I437</f>
        <v>3528.25</v>
      </c>
    </row>
    <row r="413" spans="1:9" s="93" customFormat="1" ht="30.75" customHeight="1">
      <c r="A413" s="166"/>
      <c r="B413" s="167"/>
      <c r="C413" s="90" t="s">
        <v>457</v>
      </c>
      <c r="D413" s="95" t="s">
        <v>155</v>
      </c>
      <c r="E413" s="91"/>
      <c r="F413" s="91"/>
      <c r="G413" s="91"/>
      <c r="H413" s="94">
        <f>H417</f>
        <v>0</v>
      </c>
      <c r="I413" s="94">
        <f>I417</f>
        <v>0</v>
      </c>
    </row>
    <row r="414" spans="1:9" s="15" customFormat="1" ht="16.2" customHeight="1">
      <c r="A414" s="106" t="s">
        <v>458</v>
      </c>
      <c r="B414" s="82"/>
      <c r="C414" s="82" t="s">
        <v>57</v>
      </c>
      <c r="D414" s="23"/>
      <c r="E414" s="24"/>
      <c r="F414" s="24"/>
      <c r="G414" s="24"/>
      <c r="H414" s="105">
        <f>H416+H417+H418</f>
        <v>684.625</v>
      </c>
      <c r="I414" s="105">
        <f>I416+I417+I418</f>
        <v>684.625</v>
      </c>
    </row>
    <row r="415" spans="1:9" s="15" customFormat="1" ht="13.2">
      <c r="A415" s="106"/>
      <c r="B415" s="82"/>
      <c r="C415" s="82" t="s">
        <v>131</v>
      </c>
      <c r="D415" s="23"/>
      <c r="E415" s="24"/>
      <c r="F415" s="24"/>
      <c r="G415" s="24"/>
      <c r="H415" s="25"/>
      <c r="I415" s="25"/>
    </row>
    <row r="416" spans="1:9" s="15" customFormat="1" ht="26.4">
      <c r="A416" s="106"/>
      <c r="B416" s="86"/>
      <c r="C416" s="82" t="s">
        <v>346</v>
      </c>
      <c r="D416" s="23" t="s">
        <v>347</v>
      </c>
      <c r="E416" s="24"/>
      <c r="F416" s="24"/>
      <c r="G416" s="24"/>
      <c r="H416" s="25">
        <f>H419+H421+H423+H424+H427+H428</f>
        <v>585.625</v>
      </c>
      <c r="I416" s="25">
        <f>I419+I421+I423+I424+I427+I428</f>
        <v>585.625</v>
      </c>
    </row>
    <row r="417" spans="1:9" s="15" customFormat="1" ht="30" customHeight="1">
      <c r="A417" s="106"/>
      <c r="B417" s="86"/>
      <c r="C417" s="82" t="s">
        <v>457</v>
      </c>
      <c r="D417" s="23" t="s">
        <v>155</v>
      </c>
      <c r="E417" s="24"/>
      <c r="F417" s="24"/>
      <c r="G417" s="24"/>
      <c r="H417" s="25">
        <f>H420+H425+H426</f>
        <v>0</v>
      </c>
      <c r="I417" s="25">
        <f>I420+I425+I426</f>
        <v>0</v>
      </c>
    </row>
    <row r="418" spans="1:9" s="15" customFormat="1" ht="13.2">
      <c r="A418" s="106"/>
      <c r="B418" s="86"/>
      <c r="C418" s="82" t="s">
        <v>437</v>
      </c>
      <c r="D418" s="23" t="s">
        <v>438</v>
      </c>
      <c r="E418" s="24"/>
      <c r="F418" s="24"/>
      <c r="G418" s="24"/>
      <c r="H418" s="25">
        <f>H422</f>
        <v>99</v>
      </c>
      <c r="I418" s="25">
        <f>I422</f>
        <v>99</v>
      </c>
    </row>
    <row r="419" spans="1:9" s="15" customFormat="1" ht="32.25" customHeight="1">
      <c r="A419" s="106"/>
      <c r="B419" s="109" t="s">
        <v>459</v>
      </c>
      <c r="C419" s="82" t="s">
        <v>346</v>
      </c>
      <c r="D419" s="23" t="s">
        <v>347</v>
      </c>
      <c r="E419" s="23" t="s">
        <v>64</v>
      </c>
      <c r="F419" s="23" t="s">
        <v>460</v>
      </c>
      <c r="G419" s="23" t="s">
        <v>63</v>
      </c>
      <c r="H419" s="25"/>
      <c r="I419" s="25"/>
    </row>
    <row r="420" spans="1:9" s="15" customFormat="1" ht="29.25" customHeight="1">
      <c r="A420" s="106"/>
      <c r="B420" s="111"/>
      <c r="C420" s="82" t="s">
        <v>457</v>
      </c>
      <c r="D420" s="23" t="s">
        <v>155</v>
      </c>
      <c r="E420" s="23" t="s">
        <v>156</v>
      </c>
      <c r="F420" s="23" t="s">
        <v>460</v>
      </c>
      <c r="G420" s="23" t="s">
        <v>63</v>
      </c>
      <c r="H420" s="25"/>
      <c r="I420" s="25"/>
    </row>
    <row r="421" spans="1:9" s="15" customFormat="1" ht="27" customHeight="1">
      <c r="A421" s="106"/>
      <c r="B421" s="82" t="s">
        <v>461</v>
      </c>
      <c r="C421" s="82" t="s">
        <v>346</v>
      </c>
      <c r="D421" s="23" t="s">
        <v>347</v>
      </c>
      <c r="E421" s="23" t="s">
        <v>462</v>
      </c>
      <c r="F421" s="23" t="s">
        <v>463</v>
      </c>
      <c r="G421" s="23" t="s">
        <v>141</v>
      </c>
      <c r="H421" s="25"/>
      <c r="I421" s="25"/>
    </row>
    <row r="422" spans="1:9" s="15" customFormat="1" ht="17.399999999999999" customHeight="1">
      <c r="A422" s="106"/>
      <c r="B422" s="109" t="s">
        <v>464</v>
      </c>
      <c r="C422" s="82" t="s">
        <v>437</v>
      </c>
      <c r="D422" s="23" t="s">
        <v>438</v>
      </c>
      <c r="E422" s="23" t="s">
        <v>462</v>
      </c>
      <c r="F422" s="23" t="s">
        <v>465</v>
      </c>
      <c r="G422" s="23" t="s">
        <v>584</v>
      </c>
      <c r="H422" s="25">
        <v>99</v>
      </c>
      <c r="I422" s="25">
        <v>99</v>
      </c>
    </row>
    <row r="423" spans="1:9" s="15" customFormat="1" ht="26.4">
      <c r="A423" s="106"/>
      <c r="B423" s="111"/>
      <c r="C423" s="82" t="s">
        <v>346</v>
      </c>
      <c r="D423" s="23" t="s">
        <v>347</v>
      </c>
      <c r="E423" s="23" t="s">
        <v>462</v>
      </c>
      <c r="F423" s="23" t="s">
        <v>465</v>
      </c>
      <c r="G423" s="23" t="s">
        <v>466</v>
      </c>
      <c r="H423" s="25">
        <v>446.125</v>
      </c>
      <c r="I423" s="25">
        <v>446.125</v>
      </c>
    </row>
    <row r="424" spans="1:9" s="15" customFormat="1" ht="27.6" customHeight="1">
      <c r="A424" s="106"/>
      <c r="B424" s="82" t="s">
        <v>467</v>
      </c>
      <c r="C424" s="82" t="s">
        <v>346</v>
      </c>
      <c r="D424" s="23" t="s">
        <v>347</v>
      </c>
      <c r="E424" s="23" t="s">
        <v>462</v>
      </c>
      <c r="F424" s="23" t="s">
        <v>468</v>
      </c>
      <c r="G424" s="23" t="s">
        <v>584</v>
      </c>
      <c r="H424" s="25">
        <v>139.5</v>
      </c>
      <c r="I424" s="25">
        <v>139.5</v>
      </c>
    </row>
    <row r="425" spans="1:9" s="15" customFormat="1" ht="42" customHeight="1">
      <c r="A425" s="106"/>
      <c r="B425" s="82" t="s">
        <v>469</v>
      </c>
      <c r="C425" s="82" t="s">
        <v>457</v>
      </c>
      <c r="D425" s="23" t="s">
        <v>155</v>
      </c>
      <c r="E425" s="23" t="s">
        <v>156</v>
      </c>
      <c r="F425" s="23" t="s">
        <v>470</v>
      </c>
      <c r="G425" s="23" t="s">
        <v>63</v>
      </c>
      <c r="H425" s="25"/>
      <c r="I425" s="25"/>
    </row>
    <row r="426" spans="1:9" s="15" customFormat="1" ht="27.6" customHeight="1">
      <c r="A426" s="106"/>
      <c r="B426" s="82" t="s">
        <v>471</v>
      </c>
      <c r="C426" s="82" t="s">
        <v>457</v>
      </c>
      <c r="D426" s="23" t="s">
        <v>155</v>
      </c>
      <c r="E426" s="23" t="s">
        <v>156</v>
      </c>
      <c r="F426" s="23" t="s">
        <v>472</v>
      </c>
      <c r="G426" s="23" t="s">
        <v>63</v>
      </c>
      <c r="H426" s="25"/>
      <c r="I426" s="25"/>
    </row>
    <row r="427" spans="1:9" s="15" customFormat="1" ht="55.2" customHeight="1">
      <c r="A427" s="106"/>
      <c r="B427" s="82" t="s">
        <v>473</v>
      </c>
      <c r="C427" s="82" t="s">
        <v>346</v>
      </c>
      <c r="D427" s="23" t="s">
        <v>347</v>
      </c>
      <c r="E427" s="23" t="s">
        <v>64</v>
      </c>
      <c r="F427" s="23" t="s">
        <v>474</v>
      </c>
      <c r="G427" s="23" t="s">
        <v>63</v>
      </c>
      <c r="H427" s="25"/>
      <c r="I427" s="25"/>
    </row>
    <row r="428" spans="1:9" s="15" customFormat="1" ht="28.2" customHeight="1">
      <c r="A428" s="106"/>
      <c r="B428" s="82" t="s">
        <v>475</v>
      </c>
      <c r="C428" s="82" t="s">
        <v>346</v>
      </c>
      <c r="D428" s="23" t="s">
        <v>347</v>
      </c>
      <c r="E428" s="23" t="s">
        <v>462</v>
      </c>
      <c r="F428" s="23" t="s">
        <v>476</v>
      </c>
      <c r="G428" s="23" t="s">
        <v>141</v>
      </c>
      <c r="H428" s="25"/>
      <c r="I428" s="25"/>
    </row>
    <row r="429" spans="1:9" s="15" customFormat="1" ht="12.75" customHeight="1">
      <c r="A429" s="106" t="s">
        <v>477</v>
      </c>
      <c r="B429" s="82"/>
      <c r="C429" s="82" t="s">
        <v>57</v>
      </c>
      <c r="D429" s="23"/>
      <c r="E429" s="24"/>
      <c r="F429" s="24"/>
      <c r="G429" s="24"/>
      <c r="H429" s="105">
        <f>H432+H430+H431</f>
        <v>5848</v>
      </c>
      <c r="I429" s="105">
        <f t="shared" ref="I429" si="26">I432+I430+I431</f>
        <v>5848</v>
      </c>
    </row>
    <row r="430" spans="1:9" s="15" customFormat="1" ht="42" customHeight="1">
      <c r="A430" s="106"/>
      <c r="B430" s="109" t="s">
        <v>689</v>
      </c>
      <c r="C430" s="109" t="s">
        <v>350</v>
      </c>
      <c r="D430" s="23" t="s">
        <v>347</v>
      </c>
      <c r="E430" s="23" t="s">
        <v>462</v>
      </c>
      <c r="F430" s="23" t="s">
        <v>688</v>
      </c>
      <c r="G430" s="23" t="s">
        <v>589</v>
      </c>
      <c r="H430" s="25">
        <v>4800</v>
      </c>
      <c r="I430" s="25">
        <v>4800</v>
      </c>
    </row>
    <row r="431" spans="1:9" s="15" customFormat="1" ht="49.2" customHeight="1">
      <c r="A431" s="106"/>
      <c r="B431" s="110"/>
      <c r="C431" s="110"/>
      <c r="D431" s="23" t="s">
        <v>347</v>
      </c>
      <c r="E431" s="23" t="s">
        <v>462</v>
      </c>
      <c r="F431" s="23" t="s">
        <v>688</v>
      </c>
      <c r="G431" s="23" t="s">
        <v>619</v>
      </c>
      <c r="H431" s="25">
        <v>1000</v>
      </c>
      <c r="I431" s="25">
        <v>1000</v>
      </c>
    </row>
    <row r="432" spans="1:9" s="15" customFormat="1" ht="40.799999999999997" customHeight="1">
      <c r="A432" s="106"/>
      <c r="B432" s="111"/>
      <c r="C432" s="111"/>
      <c r="D432" s="23" t="s">
        <v>347</v>
      </c>
      <c r="E432" s="23" t="s">
        <v>462</v>
      </c>
      <c r="F432" s="23" t="s">
        <v>478</v>
      </c>
      <c r="G432" s="23" t="s">
        <v>589</v>
      </c>
      <c r="H432" s="25">
        <v>48</v>
      </c>
      <c r="I432" s="25">
        <v>48</v>
      </c>
    </row>
    <row r="433" spans="1:9" s="15" customFormat="1" ht="12.75" customHeight="1">
      <c r="A433" s="109" t="s">
        <v>130</v>
      </c>
      <c r="B433" s="109" t="s">
        <v>479</v>
      </c>
      <c r="C433" s="82" t="s">
        <v>57</v>
      </c>
      <c r="D433" s="23"/>
      <c r="E433" s="23"/>
      <c r="F433" s="23"/>
      <c r="G433" s="23"/>
      <c r="H433" s="105">
        <f>H436+H437+H435</f>
        <v>15575.244000000001</v>
      </c>
      <c r="I433" s="105">
        <f t="shared" ref="I433" si="27">I436+I437+I435</f>
        <v>15575.244000000001</v>
      </c>
    </row>
    <row r="434" spans="1:9" s="15" customFormat="1" ht="12.75" customHeight="1">
      <c r="A434" s="110"/>
      <c r="B434" s="110"/>
      <c r="C434" s="86" t="s">
        <v>250</v>
      </c>
      <c r="D434" s="23"/>
      <c r="E434" s="23"/>
      <c r="F434" s="23"/>
      <c r="G434" s="23"/>
      <c r="H434" s="25"/>
      <c r="I434" s="25"/>
    </row>
    <row r="435" spans="1:9" s="15" customFormat="1" ht="29.25" customHeight="1">
      <c r="A435" s="110"/>
      <c r="B435" s="110"/>
      <c r="C435" s="86" t="s">
        <v>346</v>
      </c>
      <c r="D435" s="23" t="s">
        <v>347</v>
      </c>
      <c r="E435" s="24" t="s">
        <v>480</v>
      </c>
      <c r="F435" s="24" t="s">
        <v>691</v>
      </c>
      <c r="G435" s="24" t="s">
        <v>353</v>
      </c>
      <c r="H435" s="25">
        <v>12145.994000000001</v>
      </c>
      <c r="I435" s="25">
        <v>12145.994000000001</v>
      </c>
    </row>
    <row r="436" spans="1:9" s="15" customFormat="1" ht="27.75" customHeight="1">
      <c r="A436" s="110"/>
      <c r="B436" s="110"/>
      <c r="C436" s="109" t="s">
        <v>690</v>
      </c>
      <c r="D436" s="23" t="s">
        <v>438</v>
      </c>
      <c r="E436" s="24" t="s">
        <v>480</v>
      </c>
      <c r="F436" s="56" t="s">
        <v>692</v>
      </c>
      <c r="G436" s="24" t="s">
        <v>353</v>
      </c>
      <c r="H436" s="25">
        <v>3429.25</v>
      </c>
      <c r="I436" s="25">
        <v>3429.25</v>
      </c>
    </row>
    <row r="437" spans="1:9" s="15" customFormat="1" ht="27.75" customHeight="1">
      <c r="A437" s="110"/>
      <c r="B437" s="110"/>
      <c r="C437" s="111"/>
      <c r="D437" s="23" t="s">
        <v>438</v>
      </c>
      <c r="E437" s="24" t="s">
        <v>78</v>
      </c>
      <c r="F437" s="24" t="s">
        <v>481</v>
      </c>
      <c r="G437" s="24" t="s">
        <v>257</v>
      </c>
      <c r="H437" s="25"/>
      <c r="I437" s="25"/>
    </row>
    <row r="438" spans="1:9" s="93" customFormat="1" ht="16.5" customHeight="1">
      <c r="A438" s="166" t="s">
        <v>482</v>
      </c>
      <c r="B438" s="167"/>
      <c r="C438" s="90" t="s">
        <v>57</v>
      </c>
      <c r="D438" s="91"/>
      <c r="E438" s="91"/>
      <c r="F438" s="91"/>
      <c r="G438" s="91"/>
      <c r="H438" s="92">
        <f>H439+H440</f>
        <v>70348.967999999993</v>
      </c>
      <c r="I438" s="92">
        <f t="shared" ref="I438" si="28">I439+I440</f>
        <v>70335.005499999999</v>
      </c>
    </row>
    <row r="439" spans="1:9" s="93" customFormat="1" ht="55.5" customHeight="1">
      <c r="A439" s="166"/>
      <c r="B439" s="167"/>
      <c r="C439" s="90" t="s">
        <v>483</v>
      </c>
      <c r="D439" s="91" t="s">
        <v>487</v>
      </c>
      <c r="E439" s="91"/>
      <c r="F439" s="91"/>
      <c r="G439" s="91"/>
      <c r="H439" s="94">
        <f>H441+H451</f>
        <v>67628.06</v>
      </c>
      <c r="I439" s="94">
        <f t="shared" ref="I439" si="29">I441+I451</f>
        <v>67628.06</v>
      </c>
    </row>
    <row r="440" spans="1:9" s="93" customFormat="1" ht="28.5" customHeight="1">
      <c r="A440" s="100"/>
      <c r="B440" s="90"/>
      <c r="C440" s="90" t="s">
        <v>346</v>
      </c>
      <c r="D440" s="91"/>
      <c r="E440" s="91"/>
      <c r="F440" s="91"/>
      <c r="G440" s="91"/>
      <c r="H440" s="94">
        <f>H449+H450</f>
        <v>2720.9079999999999</v>
      </c>
      <c r="I440" s="94">
        <f>I449+I450</f>
        <v>2706.9454999999998</v>
      </c>
    </row>
    <row r="441" spans="1:9" s="15" customFormat="1" ht="12.75" customHeight="1">
      <c r="A441" s="109" t="s">
        <v>484</v>
      </c>
      <c r="B441" s="82"/>
      <c r="C441" s="82" t="s">
        <v>57</v>
      </c>
      <c r="D441" s="23"/>
      <c r="E441" s="24"/>
      <c r="F441" s="24"/>
      <c r="G441" s="24"/>
      <c r="H441" s="105">
        <f>H443+H444+H445+H446</f>
        <v>67359.06</v>
      </c>
      <c r="I441" s="105">
        <f t="shared" ref="I441" si="30">I443+I444+I445+I446</f>
        <v>67359.06</v>
      </c>
    </row>
    <row r="442" spans="1:9" s="15" customFormat="1" ht="13.2">
      <c r="A442" s="110"/>
      <c r="B442" s="82"/>
      <c r="C442" s="82" t="s">
        <v>250</v>
      </c>
      <c r="D442" s="23"/>
      <c r="E442" s="24"/>
      <c r="F442" s="24"/>
      <c r="G442" s="24"/>
      <c r="H442" s="25"/>
      <c r="I442" s="25"/>
    </row>
    <row r="443" spans="1:9" s="15" customFormat="1" ht="100.2" customHeight="1">
      <c r="A443" s="110"/>
      <c r="B443" s="82" t="s">
        <v>485</v>
      </c>
      <c r="C443" s="109" t="s">
        <v>486</v>
      </c>
      <c r="D443" s="23" t="s">
        <v>487</v>
      </c>
      <c r="E443" s="24" t="s">
        <v>488</v>
      </c>
      <c r="F443" s="24" t="s">
        <v>489</v>
      </c>
      <c r="G443" s="24" t="s">
        <v>693</v>
      </c>
      <c r="H443" s="25">
        <v>10348.700000000001</v>
      </c>
      <c r="I443" s="25">
        <v>10348.700000000001</v>
      </c>
    </row>
    <row r="444" spans="1:9" s="15" customFormat="1" ht="61.2" customHeight="1">
      <c r="A444" s="110"/>
      <c r="B444" s="82" t="s">
        <v>490</v>
      </c>
      <c r="C444" s="110"/>
      <c r="D444" s="23" t="s">
        <v>487</v>
      </c>
      <c r="E444" s="24" t="s">
        <v>488</v>
      </c>
      <c r="F444" s="24" t="s">
        <v>491</v>
      </c>
      <c r="G444" s="24" t="s">
        <v>693</v>
      </c>
      <c r="H444" s="25">
        <v>28773.98</v>
      </c>
      <c r="I444" s="25">
        <v>28773.98</v>
      </c>
    </row>
    <row r="445" spans="1:9" s="15" customFormat="1" ht="55.2" customHeight="1">
      <c r="A445" s="110"/>
      <c r="B445" s="82" t="s">
        <v>492</v>
      </c>
      <c r="C445" s="110"/>
      <c r="D445" s="23" t="s">
        <v>487</v>
      </c>
      <c r="E445" s="24" t="s">
        <v>493</v>
      </c>
      <c r="F445" s="24" t="s">
        <v>494</v>
      </c>
      <c r="G445" s="24" t="s">
        <v>466</v>
      </c>
      <c r="H445" s="25">
        <v>28236.38</v>
      </c>
      <c r="I445" s="25">
        <v>28236.38</v>
      </c>
    </row>
    <row r="446" spans="1:9" s="15" customFormat="1" ht="68.400000000000006" customHeight="1">
      <c r="A446" s="111"/>
      <c r="B446" s="82" t="s">
        <v>495</v>
      </c>
      <c r="C446" s="111"/>
      <c r="D446" s="23" t="s">
        <v>487</v>
      </c>
      <c r="E446" s="24" t="s">
        <v>493</v>
      </c>
      <c r="F446" s="24" t="s">
        <v>496</v>
      </c>
      <c r="G446" s="24" t="s">
        <v>466</v>
      </c>
      <c r="H446" s="25"/>
      <c r="I446" s="25"/>
    </row>
    <row r="447" spans="1:9" s="15" customFormat="1" ht="19.2" customHeight="1">
      <c r="A447" s="127" t="s">
        <v>694</v>
      </c>
      <c r="B447" s="82"/>
      <c r="C447" s="82" t="s">
        <v>57</v>
      </c>
      <c r="D447" s="23"/>
      <c r="E447" s="24"/>
      <c r="F447" s="24"/>
      <c r="G447" s="24"/>
      <c r="H447" s="105">
        <f>H449+H450+H451</f>
        <v>2989.9079999999999</v>
      </c>
      <c r="I447" s="105">
        <f>I449+I450+I451</f>
        <v>2975.9454999999998</v>
      </c>
    </row>
    <row r="448" spans="1:9" s="15" customFormat="1" ht="13.2">
      <c r="A448" s="135"/>
      <c r="B448" s="82"/>
      <c r="C448" s="82" t="s">
        <v>250</v>
      </c>
      <c r="D448" s="23"/>
      <c r="E448" s="24"/>
      <c r="F448" s="24"/>
      <c r="G448" s="24"/>
      <c r="H448" s="25"/>
      <c r="I448" s="25"/>
    </row>
    <row r="449" spans="1:9" s="15" customFormat="1" ht="31.2" customHeight="1">
      <c r="A449" s="135"/>
      <c r="B449" s="82" t="s">
        <v>40</v>
      </c>
      <c r="C449" s="109" t="s">
        <v>346</v>
      </c>
      <c r="D449" s="23" t="s">
        <v>347</v>
      </c>
      <c r="E449" s="24" t="s">
        <v>237</v>
      </c>
      <c r="F449" s="24" t="s">
        <v>497</v>
      </c>
      <c r="G449" s="24" t="s">
        <v>593</v>
      </c>
      <c r="H449" s="25">
        <v>2321.8789999999999</v>
      </c>
      <c r="I449" s="25">
        <v>2321.8789999999999</v>
      </c>
    </row>
    <row r="450" spans="1:9" s="15" customFormat="1" ht="30.6" customHeight="1">
      <c r="A450" s="135"/>
      <c r="B450" s="82" t="s">
        <v>40</v>
      </c>
      <c r="C450" s="111"/>
      <c r="D450" s="23" t="s">
        <v>347</v>
      </c>
      <c r="E450" s="24" t="s">
        <v>237</v>
      </c>
      <c r="F450" s="24" t="s">
        <v>497</v>
      </c>
      <c r="G450" s="24" t="s">
        <v>584</v>
      </c>
      <c r="H450" s="25">
        <v>399.029</v>
      </c>
      <c r="I450" s="25">
        <v>385.06650000000002</v>
      </c>
    </row>
    <row r="451" spans="1:9" s="15" customFormat="1" ht="54.6" customHeight="1">
      <c r="A451" s="129"/>
      <c r="B451" s="82" t="s">
        <v>498</v>
      </c>
      <c r="C451" s="82" t="s">
        <v>486</v>
      </c>
      <c r="D451" s="23" t="s">
        <v>487</v>
      </c>
      <c r="E451" s="24" t="s">
        <v>499</v>
      </c>
      <c r="F451" s="24" t="s">
        <v>500</v>
      </c>
      <c r="G451" s="24" t="s">
        <v>584</v>
      </c>
      <c r="H451" s="25">
        <v>269</v>
      </c>
      <c r="I451" s="25">
        <v>269</v>
      </c>
    </row>
    <row r="452" spans="1:9" s="93" customFormat="1" ht="36.75" customHeight="1">
      <c r="A452" s="166" t="s">
        <v>501</v>
      </c>
      <c r="B452" s="167"/>
      <c r="C452" s="90" t="s">
        <v>57</v>
      </c>
      <c r="D452" s="91"/>
      <c r="E452" s="91"/>
      <c r="F452" s="91"/>
      <c r="G452" s="91"/>
      <c r="H452" s="92">
        <f>H453</f>
        <v>141410.25751</v>
      </c>
      <c r="I452" s="92">
        <f>I453</f>
        <v>102308.15677</v>
      </c>
    </row>
    <row r="453" spans="1:9" s="93" customFormat="1" ht="43.5" customHeight="1">
      <c r="A453" s="166"/>
      <c r="B453" s="167"/>
      <c r="C453" s="90" t="s">
        <v>350</v>
      </c>
      <c r="D453" s="91" t="s">
        <v>347</v>
      </c>
      <c r="E453" s="91"/>
      <c r="F453" s="91"/>
      <c r="G453" s="91"/>
      <c r="H453" s="94">
        <f>H454</f>
        <v>141410.25751</v>
      </c>
      <c r="I453" s="94">
        <f>I454</f>
        <v>102308.15677</v>
      </c>
    </row>
    <row r="454" spans="1:9" s="15" customFormat="1" ht="12.75" customHeight="1">
      <c r="A454" s="109" t="s">
        <v>502</v>
      </c>
      <c r="B454" s="82"/>
      <c r="C454" s="82" t="s">
        <v>57</v>
      </c>
      <c r="D454" s="23"/>
      <c r="E454" s="24"/>
      <c r="F454" s="24"/>
      <c r="G454" s="24"/>
      <c r="H454" s="105">
        <f>H456+H457+H458+H459+H460</f>
        <v>141410.25751</v>
      </c>
      <c r="I454" s="105">
        <f t="shared" ref="I454" si="31">I456+I457+I458+I459+I460</f>
        <v>102308.15677</v>
      </c>
    </row>
    <row r="455" spans="1:9" s="15" customFormat="1" ht="17.25" customHeight="1">
      <c r="A455" s="110"/>
      <c r="B455" s="82"/>
      <c r="C455" s="82" t="s">
        <v>362</v>
      </c>
      <c r="D455" s="23"/>
      <c r="E455" s="24"/>
      <c r="F455" s="24"/>
      <c r="G455" s="24"/>
      <c r="H455" s="25"/>
      <c r="I455" s="25"/>
    </row>
    <row r="456" spans="1:9" s="15" customFormat="1" ht="54" customHeight="1">
      <c r="A456" s="110"/>
      <c r="B456" s="82" t="s">
        <v>503</v>
      </c>
      <c r="C456" s="109" t="s">
        <v>346</v>
      </c>
      <c r="D456" s="23" t="s">
        <v>347</v>
      </c>
      <c r="E456" s="24" t="s">
        <v>504</v>
      </c>
      <c r="F456" s="24" t="s">
        <v>505</v>
      </c>
      <c r="G456" s="24" t="s">
        <v>589</v>
      </c>
      <c r="H456" s="25">
        <v>70595.22</v>
      </c>
      <c r="I456" s="25">
        <v>60710.269780000002</v>
      </c>
    </row>
    <row r="457" spans="1:9" s="15" customFormat="1" ht="17.399999999999999" customHeight="1">
      <c r="A457" s="110"/>
      <c r="B457" s="82" t="s">
        <v>506</v>
      </c>
      <c r="C457" s="110"/>
      <c r="D457" s="23" t="s">
        <v>347</v>
      </c>
      <c r="E457" s="24" t="s">
        <v>504</v>
      </c>
      <c r="F457" s="24" t="s">
        <v>507</v>
      </c>
      <c r="G457" s="24" t="s">
        <v>695</v>
      </c>
      <c r="H457" s="25">
        <f>59019.501+22.56</f>
        <v>59042.060999999994</v>
      </c>
      <c r="I457" s="25">
        <f>29802.37923+22.56</f>
        <v>29824.93923</v>
      </c>
    </row>
    <row r="458" spans="1:9" s="15" customFormat="1" ht="53.4" customHeight="1">
      <c r="A458" s="110"/>
      <c r="B458" s="82" t="s">
        <v>508</v>
      </c>
      <c r="C458" s="110"/>
      <c r="D458" s="23" t="s">
        <v>347</v>
      </c>
      <c r="E458" s="24" t="s">
        <v>504</v>
      </c>
      <c r="F458" s="24" t="s">
        <v>509</v>
      </c>
      <c r="G458" s="24" t="s">
        <v>695</v>
      </c>
      <c r="H458" s="25">
        <f t="shared" ref="H458:I458" si="32">11370.92951+33.947</f>
        <v>11404.87651</v>
      </c>
      <c r="I458" s="25">
        <f t="shared" si="32"/>
        <v>11404.87651</v>
      </c>
    </row>
    <row r="459" spans="1:9" s="15" customFormat="1" ht="54.6" customHeight="1">
      <c r="A459" s="110"/>
      <c r="B459" s="82" t="s">
        <v>510</v>
      </c>
      <c r="C459" s="110"/>
      <c r="D459" s="23" t="s">
        <v>347</v>
      </c>
      <c r="E459" s="24" t="s">
        <v>504</v>
      </c>
      <c r="F459" s="24" t="s">
        <v>511</v>
      </c>
      <c r="G459" s="24" t="s">
        <v>589</v>
      </c>
      <c r="H459" s="25">
        <v>170.7</v>
      </c>
      <c r="I459" s="25">
        <v>170.7</v>
      </c>
    </row>
    <row r="460" spans="1:9" s="15" customFormat="1" ht="41.4" customHeight="1">
      <c r="A460" s="110"/>
      <c r="B460" s="82" t="s">
        <v>697</v>
      </c>
      <c r="C460" s="110"/>
      <c r="D460" s="23" t="s">
        <v>347</v>
      </c>
      <c r="E460" s="24" t="s">
        <v>504</v>
      </c>
      <c r="F460" s="24" t="s">
        <v>696</v>
      </c>
      <c r="G460" s="24" t="s">
        <v>589</v>
      </c>
      <c r="H460" s="25">
        <v>197.4</v>
      </c>
      <c r="I460" s="25">
        <v>197.37125</v>
      </c>
    </row>
    <row r="461" spans="1:9" s="15" customFormat="1" ht="27.6" customHeight="1">
      <c r="A461" s="110"/>
      <c r="B461" s="82" t="s">
        <v>727</v>
      </c>
      <c r="C461" s="110"/>
      <c r="D461" s="23" t="s">
        <v>347</v>
      </c>
      <c r="E461" s="24" t="s">
        <v>504</v>
      </c>
      <c r="F461" s="24" t="s">
        <v>728</v>
      </c>
      <c r="G461" s="24" t="s">
        <v>584</v>
      </c>
      <c r="H461" s="25"/>
      <c r="I461" s="25"/>
    </row>
    <row r="462" spans="1:9" s="15" customFormat="1" ht="53.4" customHeight="1">
      <c r="A462" s="110"/>
      <c r="B462" s="82" t="s">
        <v>730</v>
      </c>
      <c r="C462" s="110"/>
      <c r="D462" s="23" t="s">
        <v>347</v>
      </c>
      <c r="E462" s="24" t="s">
        <v>504</v>
      </c>
      <c r="F462" s="24" t="s">
        <v>729</v>
      </c>
      <c r="G462" s="24" t="s">
        <v>584</v>
      </c>
      <c r="H462" s="25"/>
      <c r="I462" s="25"/>
    </row>
    <row r="463" spans="1:9" s="15" customFormat="1" ht="25.8" customHeight="1">
      <c r="A463" s="110"/>
      <c r="B463" s="82" t="s">
        <v>731</v>
      </c>
      <c r="C463" s="110"/>
      <c r="D463" s="23" t="s">
        <v>347</v>
      </c>
      <c r="E463" s="24" t="s">
        <v>504</v>
      </c>
      <c r="F463" s="24" t="s">
        <v>732</v>
      </c>
      <c r="G463" s="24" t="s">
        <v>584</v>
      </c>
      <c r="H463" s="25"/>
      <c r="I463" s="25"/>
    </row>
    <row r="464" spans="1:9" s="15" customFormat="1" ht="81" customHeight="1">
      <c r="A464" s="110"/>
      <c r="B464" s="82" t="s">
        <v>734</v>
      </c>
      <c r="C464" s="110"/>
      <c r="D464" s="23" t="s">
        <v>347</v>
      </c>
      <c r="E464" s="24" t="s">
        <v>504</v>
      </c>
      <c r="F464" s="24" t="s">
        <v>733</v>
      </c>
      <c r="G464" s="24" t="s">
        <v>584</v>
      </c>
      <c r="H464" s="25"/>
      <c r="I464" s="25"/>
    </row>
    <row r="465" spans="1:9" s="15" customFormat="1" ht="26.4" customHeight="1">
      <c r="A465" s="110"/>
      <c r="B465" s="82" t="s">
        <v>736</v>
      </c>
      <c r="C465" s="110"/>
      <c r="D465" s="23" t="s">
        <v>347</v>
      </c>
      <c r="E465" s="24" t="s">
        <v>504</v>
      </c>
      <c r="F465" s="24" t="s">
        <v>735</v>
      </c>
      <c r="G465" s="24" t="s">
        <v>584</v>
      </c>
      <c r="H465" s="25"/>
      <c r="I465" s="25"/>
    </row>
    <row r="466" spans="1:9" s="15" customFormat="1" ht="30" customHeight="1">
      <c r="A466" s="110"/>
      <c r="B466" s="82" t="s">
        <v>738</v>
      </c>
      <c r="C466" s="110"/>
      <c r="D466" s="23" t="s">
        <v>347</v>
      </c>
      <c r="E466" s="24" t="s">
        <v>504</v>
      </c>
      <c r="F466" s="24" t="s">
        <v>737</v>
      </c>
      <c r="G466" s="24" t="s">
        <v>584</v>
      </c>
      <c r="H466" s="25"/>
      <c r="I466" s="25"/>
    </row>
    <row r="467" spans="1:9" s="15" customFormat="1" ht="40.200000000000003" customHeight="1">
      <c r="A467" s="110"/>
      <c r="B467" s="82" t="s">
        <v>741</v>
      </c>
      <c r="C467" s="110"/>
      <c r="D467" s="23" t="s">
        <v>347</v>
      </c>
      <c r="E467" s="24" t="s">
        <v>504</v>
      </c>
      <c r="F467" s="24" t="s">
        <v>739</v>
      </c>
      <c r="G467" s="24" t="s">
        <v>584</v>
      </c>
      <c r="H467" s="25"/>
      <c r="I467" s="25"/>
    </row>
    <row r="468" spans="1:9" s="15" customFormat="1" ht="40.200000000000003" customHeight="1">
      <c r="A468" s="111"/>
      <c r="B468" s="82" t="s">
        <v>742</v>
      </c>
      <c r="C468" s="111"/>
      <c r="D468" s="23" t="s">
        <v>347</v>
      </c>
      <c r="E468" s="24" t="s">
        <v>504</v>
      </c>
      <c r="F468" s="24" t="s">
        <v>740</v>
      </c>
      <c r="G468" s="24" t="s">
        <v>584</v>
      </c>
      <c r="H468" s="25"/>
      <c r="I468" s="25"/>
    </row>
    <row r="469" spans="1:9" s="93" customFormat="1" ht="59.25" customHeight="1">
      <c r="A469" s="166" t="s">
        <v>512</v>
      </c>
      <c r="B469" s="167"/>
      <c r="C469" s="90" t="s">
        <v>57</v>
      </c>
      <c r="D469" s="91"/>
      <c r="E469" s="91"/>
      <c r="F469" s="91"/>
      <c r="G469" s="91"/>
      <c r="H469" s="92">
        <f>H470</f>
        <v>18187.689429999999</v>
      </c>
      <c r="I469" s="92">
        <f>I470</f>
        <v>17582.973099999999</v>
      </c>
    </row>
    <row r="470" spans="1:9" s="93" customFormat="1" ht="59.25" customHeight="1">
      <c r="A470" s="166"/>
      <c r="B470" s="167"/>
      <c r="C470" s="90" t="s">
        <v>350</v>
      </c>
      <c r="D470" s="91" t="s">
        <v>347</v>
      </c>
      <c r="E470" s="91"/>
      <c r="F470" s="91"/>
      <c r="G470" s="91"/>
      <c r="H470" s="94">
        <f t="shared" ref="H470:I470" si="33">H471+H483+H487+H489+H476</f>
        <v>18187.689429999999</v>
      </c>
      <c r="I470" s="94">
        <f t="shared" si="33"/>
        <v>17582.973099999999</v>
      </c>
    </row>
    <row r="471" spans="1:9" s="15" customFormat="1" ht="19.8" customHeight="1">
      <c r="A471" s="127" t="s">
        <v>513</v>
      </c>
      <c r="B471" s="82"/>
      <c r="C471" s="82" t="s">
        <v>57</v>
      </c>
      <c r="D471" s="23"/>
      <c r="E471" s="24"/>
      <c r="F471" s="24"/>
      <c r="G471" s="24"/>
      <c r="H471" s="105">
        <f>H473+H474+H475</f>
        <v>1208.7359999999999</v>
      </c>
      <c r="I471" s="105">
        <f>I473+I474+I475</f>
        <v>1208.7359999999999</v>
      </c>
    </row>
    <row r="472" spans="1:9" s="15" customFormat="1" ht="13.2">
      <c r="A472" s="135"/>
      <c r="B472" s="82"/>
      <c r="C472" s="82" t="s">
        <v>250</v>
      </c>
      <c r="D472" s="23"/>
      <c r="E472" s="24"/>
      <c r="F472" s="24"/>
      <c r="G472" s="24"/>
      <c r="H472" s="25"/>
      <c r="I472" s="25"/>
    </row>
    <row r="473" spans="1:9" s="15" customFormat="1" ht="28.8" customHeight="1">
      <c r="A473" s="135"/>
      <c r="B473" s="82" t="s">
        <v>514</v>
      </c>
      <c r="C473" s="109" t="s">
        <v>346</v>
      </c>
      <c r="D473" s="23" t="s">
        <v>347</v>
      </c>
      <c r="E473" s="24" t="s">
        <v>78</v>
      </c>
      <c r="F473" s="24" t="s">
        <v>515</v>
      </c>
      <c r="G473" s="24" t="s">
        <v>679</v>
      </c>
      <c r="H473" s="25">
        <v>271.96559999999999</v>
      </c>
      <c r="I473" s="25">
        <v>271.96559999999999</v>
      </c>
    </row>
    <row r="474" spans="1:9" s="15" customFormat="1" ht="27" customHeight="1">
      <c r="A474" s="135"/>
      <c r="B474" s="82" t="s">
        <v>516</v>
      </c>
      <c r="C474" s="110"/>
      <c r="D474" s="23" t="s">
        <v>347</v>
      </c>
      <c r="E474" s="24" t="s">
        <v>78</v>
      </c>
      <c r="F474" s="24" t="s">
        <v>517</v>
      </c>
      <c r="G474" s="24" t="s">
        <v>679</v>
      </c>
      <c r="H474" s="25">
        <v>725.24159999999995</v>
      </c>
      <c r="I474" s="25">
        <v>725.24159999999995</v>
      </c>
    </row>
    <row r="475" spans="1:9" s="15" customFormat="1" ht="26.4">
      <c r="A475" s="129"/>
      <c r="B475" s="82" t="s">
        <v>700</v>
      </c>
      <c r="C475" s="111"/>
      <c r="D475" s="23" t="s">
        <v>347</v>
      </c>
      <c r="E475" s="24" t="s">
        <v>78</v>
      </c>
      <c r="F475" s="24" t="s">
        <v>518</v>
      </c>
      <c r="G475" s="24" t="s">
        <v>679</v>
      </c>
      <c r="H475" s="25">
        <v>211.52879999999999</v>
      </c>
      <c r="I475" s="25">
        <v>211.52879999999999</v>
      </c>
    </row>
    <row r="476" spans="1:9" s="15" customFormat="1" ht="12.75" customHeight="1">
      <c r="A476" s="109" t="s">
        <v>699</v>
      </c>
      <c r="B476" s="82"/>
      <c r="C476" s="82" t="s">
        <v>57</v>
      </c>
      <c r="D476" s="23"/>
      <c r="E476" s="24"/>
      <c r="F476" s="24"/>
      <c r="G476" s="24"/>
      <c r="H476" s="105">
        <f>H478+H479+H481+H480+H482</f>
        <v>16840.473429999998</v>
      </c>
      <c r="I476" s="105">
        <f>I478+I479+I481+I480+I482</f>
        <v>16235.757099999999</v>
      </c>
    </row>
    <row r="477" spans="1:9" s="15" customFormat="1" ht="13.2">
      <c r="A477" s="110"/>
      <c r="B477" s="82"/>
      <c r="C477" s="82" t="s">
        <v>250</v>
      </c>
      <c r="D477" s="23"/>
      <c r="E477" s="24"/>
      <c r="F477" s="24"/>
      <c r="G477" s="24"/>
      <c r="H477" s="25"/>
      <c r="I477" s="25"/>
    </row>
    <row r="478" spans="1:9" s="15" customFormat="1" ht="31.2" customHeight="1">
      <c r="A478" s="110"/>
      <c r="B478" s="82" t="s">
        <v>705</v>
      </c>
      <c r="C478" s="109" t="s">
        <v>346</v>
      </c>
      <c r="D478" s="23" t="s">
        <v>347</v>
      </c>
      <c r="E478" s="24" t="s">
        <v>524</v>
      </c>
      <c r="F478" s="24" t="s">
        <v>701</v>
      </c>
      <c r="G478" s="24" t="s">
        <v>466</v>
      </c>
      <c r="H478" s="25">
        <v>208.15100000000001</v>
      </c>
      <c r="I478" s="25">
        <v>208.15073000000001</v>
      </c>
    </row>
    <row r="479" spans="1:9" s="15" customFormat="1" ht="27" customHeight="1">
      <c r="A479" s="110"/>
      <c r="B479" s="109" t="s">
        <v>706</v>
      </c>
      <c r="C479" s="110"/>
      <c r="D479" s="23" t="s">
        <v>347</v>
      </c>
      <c r="E479" s="24" t="s">
        <v>524</v>
      </c>
      <c r="F479" s="24" t="s">
        <v>702</v>
      </c>
      <c r="G479" s="24" t="s">
        <v>703</v>
      </c>
      <c r="H479" s="25">
        <v>3045.1072399999998</v>
      </c>
      <c r="I479" s="25">
        <v>3045.1072399999998</v>
      </c>
    </row>
    <row r="480" spans="1:9" s="15" customFormat="1" ht="31.2" customHeight="1">
      <c r="A480" s="110"/>
      <c r="B480" s="111"/>
      <c r="C480" s="110"/>
      <c r="D480" s="23" t="s">
        <v>347</v>
      </c>
      <c r="E480" s="24" t="s">
        <v>524</v>
      </c>
      <c r="F480" s="24" t="s">
        <v>702</v>
      </c>
      <c r="G480" s="24" t="s">
        <v>619</v>
      </c>
      <c r="H480" s="25">
        <v>3045.1072399999998</v>
      </c>
      <c r="I480" s="25">
        <v>3045.1072399999998</v>
      </c>
    </row>
    <row r="481" spans="1:9" s="15" customFormat="1" ht="25.2" customHeight="1">
      <c r="A481" s="110"/>
      <c r="B481" s="109" t="s">
        <v>707</v>
      </c>
      <c r="C481" s="110"/>
      <c r="D481" s="23" t="s">
        <v>347</v>
      </c>
      <c r="E481" s="24" t="s">
        <v>524</v>
      </c>
      <c r="F481" s="24" t="s">
        <v>704</v>
      </c>
      <c r="G481" s="24" t="s">
        <v>703</v>
      </c>
      <c r="H481" s="25">
        <f>4864.62058+812.86679</f>
        <v>5677.4873699999998</v>
      </c>
      <c r="I481" s="25">
        <f>4864.62058+208.15073</f>
        <v>5072.7713100000001</v>
      </c>
    </row>
    <row r="482" spans="1:9" s="15" customFormat="1" ht="20.399999999999999" customHeight="1">
      <c r="A482" s="111"/>
      <c r="B482" s="111"/>
      <c r="C482" s="111"/>
      <c r="D482" s="23" t="s">
        <v>347</v>
      </c>
      <c r="E482" s="24" t="s">
        <v>524</v>
      </c>
      <c r="F482" s="24" t="s">
        <v>704</v>
      </c>
      <c r="G482" s="24" t="s">
        <v>619</v>
      </c>
      <c r="H482" s="25">
        <f>4864.62058</f>
        <v>4864.6205799999998</v>
      </c>
      <c r="I482" s="25">
        <f>4864.62058</f>
        <v>4864.6205799999998</v>
      </c>
    </row>
    <row r="483" spans="1:9" s="15" customFormat="1" ht="26.4">
      <c r="A483" s="106" t="s">
        <v>698</v>
      </c>
      <c r="B483" s="82"/>
      <c r="C483" s="82" t="s">
        <v>57</v>
      </c>
      <c r="D483" s="23"/>
      <c r="E483" s="24"/>
      <c r="F483" s="24"/>
      <c r="G483" s="24"/>
      <c r="H483" s="105">
        <f>H485+H486</f>
        <v>0</v>
      </c>
      <c r="I483" s="105">
        <f>I485+I486</f>
        <v>0</v>
      </c>
    </row>
    <row r="484" spans="1:9" s="15" customFormat="1" ht="13.2">
      <c r="A484" s="106"/>
      <c r="B484" s="82"/>
      <c r="C484" s="82" t="s">
        <v>250</v>
      </c>
      <c r="D484" s="23"/>
      <c r="E484" s="24"/>
      <c r="F484" s="24"/>
      <c r="G484" s="24"/>
      <c r="H484" s="25"/>
      <c r="I484" s="25"/>
    </row>
    <row r="485" spans="1:9" s="15" customFormat="1" ht="69" customHeight="1">
      <c r="A485" s="106"/>
      <c r="B485" s="82" t="s">
        <v>519</v>
      </c>
      <c r="C485" s="109" t="s">
        <v>346</v>
      </c>
      <c r="D485" s="23" t="s">
        <v>347</v>
      </c>
      <c r="E485" s="24" t="s">
        <v>351</v>
      </c>
      <c r="F485" s="24" t="s">
        <v>520</v>
      </c>
      <c r="G485" s="24" t="s">
        <v>141</v>
      </c>
      <c r="H485" s="25"/>
      <c r="I485" s="25"/>
    </row>
    <row r="486" spans="1:9" s="15" customFormat="1" ht="26.4">
      <c r="A486" s="106"/>
      <c r="B486" s="82" t="s">
        <v>521</v>
      </c>
      <c r="C486" s="111"/>
      <c r="D486" s="23" t="s">
        <v>347</v>
      </c>
      <c r="E486" s="24" t="s">
        <v>351</v>
      </c>
      <c r="F486" s="24" t="s">
        <v>522</v>
      </c>
      <c r="G486" s="24" t="s">
        <v>141</v>
      </c>
      <c r="H486" s="25"/>
      <c r="I486" s="25"/>
    </row>
    <row r="487" spans="1:9" s="15" customFormat="1" ht="44.4" customHeight="1">
      <c r="A487" s="109" t="s">
        <v>130</v>
      </c>
      <c r="B487" s="109" t="s">
        <v>523</v>
      </c>
      <c r="C487" s="82" t="s">
        <v>57</v>
      </c>
      <c r="D487" s="23"/>
      <c r="E487" s="23"/>
      <c r="F487" s="23"/>
      <c r="G487" s="23"/>
      <c r="H487" s="105">
        <f>H488</f>
        <v>0</v>
      </c>
      <c r="I487" s="105">
        <f>I488</f>
        <v>0</v>
      </c>
    </row>
    <row r="488" spans="1:9" s="15" customFormat="1" ht="63" customHeight="1">
      <c r="A488" s="110"/>
      <c r="B488" s="110"/>
      <c r="C488" s="82" t="s">
        <v>350</v>
      </c>
      <c r="D488" s="23" t="s">
        <v>347</v>
      </c>
      <c r="E488" s="23" t="s">
        <v>524</v>
      </c>
      <c r="F488" s="23" t="s">
        <v>525</v>
      </c>
      <c r="G488" s="23" t="s">
        <v>137</v>
      </c>
      <c r="H488" s="25"/>
      <c r="I488" s="25"/>
    </row>
    <row r="489" spans="1:9" s="15" customFormat="1" ht="22.8" customHeight="1">
      <c r="A489" s="132" t="s">
        <v>135</v>
      </c>
      <c r="B489" s="132" t="s">
        <v>526</v>
      </c>
      <c r="C489" s="82" t="s">
        <v>57</v>
      </c>
      <c r="D489" s="23"/>
      <c r="E489" s="23"/>
      <c r="F489" s="23"/>
      <c r="G489" s="23"/>
      <c r="H489" s="105">
        <f>H490</f>
        <v>138.47999999999999</v>
      </c>
      <c r="I489" s="105">
        <f>I490</f>
        <v>138.47999999999999</v>
      </c>
    </row>
    <row r="490" spans="1:9" s="15" customFormat="1" ht="39.6" customHeight="1">
      <c r="A490" s="132"/>
      <c r="B490" s="132"/>
      <c r="C490" s="82" t="s">
        <v>350</v>
      </c>
      <c r="D490" s="23" t="s">
        <v>347</v>
      </c>
      <c r="E490" s="23" t="s">
        <v>527</v>
      </c>
      <c r="F490" s="23" t="s">
        <v>528</v>
      </c>
      <c r="G490" s="23" t="s">
        <v>83</v>
      </c>
      <c r="H490" s="25">
        <v>138.47999999999999</v>
      </c>
      <c r="I490" s="25">
        <v>138.47999999999999</v>
      </c>
    </row>
    <row r="492" spans="1:9">
      <c r="A492" s="44"/>
    </row>
    <row r="493" spans="1:9" ht="15.6">
      <c r="A493" s="101" t="s">
        <v>765</v>
      </c>
    </row>
    <row r="494" spans="1:9" ht="15.6">
      <c r="A494" s="102" t="s">
        <v>766</v>
      </c>
    </row>
    <row r="495" spans="1:9" ht="15.6">
      <c r="A495" s="102" t="s">
        <v>767</v>
      </c>
      <c r="C495" s="101" t="s">
        <v>768</v>
      </c>
    </row>
    <row r="499" spans="1:1">
      <c r="A499" s="103" t="s">
        <v>769</v>
      </c>
    </row>
    <row r="500" spans="1:1">
      <c r="A500" s="103" t="s">
        <v>770</v>
      </c>
    </row>
  </sheetData>
  <mergeCells count="211">
    <mergeCell ref="A483:A486"/>
    <mergeCell ref="C485:C486"/>
    <mergeCell ref="A487:A488"/>
    <mergeCell ref="B487:B488"/>
    <mergeCell ref="A489:A490"/>
    <mergeCell ref="B489:B490"/>
    <mergeCell ref="A469:A470"/>
    <mergeCell ref="B469:B470"/>
    <mergeCell ref="A471:A475"/>
    <mergeCell ref="C473:C475"/>
    <mergeCell ref="A476:A482"/>
    <mergeCell ref="C478:C482"/>
    <mergeCell ref="B479:B480"/>
    <mergeCell ref="B481:B482"/>
    <mergeCell ref="A447:A451"/>
    <mergeCell ref="C449:C450"/>
    <mergeCell ref="A452:A453"/>
    <mergeCell ref="B452:B453"/>
    <mergeCell ref="A454:A468"/>
    <mergeCell ref="C456:C468"/>
    <mergeCell ref="A433:A437"/>
    <mergeCell ref="B433:B437"/>
    <mergeCell ref="C436:C437"/>
    <mergeCell ref="A438:A439"/>
    <mergeCell ref="B438:B439"/>
    <mergeCell ref="A441:A446"/>
    <mergeCell ref="C443:C446"/>
    <mergeCell ref="A414:A428"/>
    <mergeCell ref="B419:B420"/>
    <mergeCell ref="B422:B423"/>
    <mergeCell ref="A429:A432"/>
    <mergeCell ref="B430:B432"/>
    <mergeCell ref="C430:C432"/>
    <mergeCell ref="A397:A401"/>
    <mergeCell ref="A402:A403"/>
    <mergeCell ref="B402:B403"/>
    <mergeCell ref="A404:A408"/>
    <mergeCell ref="A409:A413"/>
    <mergeCell ref="B409:B413"/>
    <mergeCell ref="A388:A389"/>
    <mergeCell ref="B388:B389"/>
    <mergeCell ref="A390:A391"/>
    <mergeCell ref="B390:B391"/>
    <mergeCell ref="A392:A396"/>
    <mergeCell ref="B392:B396"/>
    <mergeCell ref="A382:A383"/>
    <mergeCell ref="B382:B383"/>
    <mergeCell ref="A384:A385"/>
    <mergeCell ref="B384:B385"/>
    <mergeCell ref="A386:A387"/>
    <mergeCell ref="B386:B387"/>
    <mergeCell ref="A376:A377"/>
    <mergeCell ref="B376:B377"/>
    <mergeCell ref="A378:A379"/>
    <mergeCell ref="B378:B379"/>
    <mergeCell ref="A380:A381"/>
    <mergeCell ref="B380:B381"/>
    <mergeCell ref="A370:A371"/>
    <mergeCell ref="B370:B371"/>
    <mergeCell ref="A372:A373"/>
    <mergeCell ref="B372:B373"/>
    <mergeCell ref="A374:A375"/>
    <mergeCell ref="B374:B375"/>
    <mergeCell ref="A363:A365"/>
    <mergeCell ref="B363:B365"/>
    <mergeCell ref="A366:A367"/>
    <mergeCell ref="B366:B367"/>
    <mergeCell ref="A368:A369"/>
    <mergeCell ref="B368:B369"/>
    <mergeCell ref="A357:A358"/>
    <mergeCell ref="B357:B358"/>
    <mergeCell ref="A359:A360"/>
    <mergeCell ref="B359:B360"/>
    <mergeCell ref="A361:A362"/>
    <mergeCell ref="B361:B362"/>
    <mergeCell ref="A349:A350"/>
    <mergeCell ref="B349:B350"/>
    <mergeCell ref="A351:A352"/>
    <mergeCell ref="B351:B352"/>
    <mergeCell ref="A353:A356"/>
    <mergeCell ref="B353:B356"/>
    <mergeCell ref="C342:C343"/>
    <mergeCell ref="A344:A345"/>
    <mergeCell ref="B344:B345"/>
    <mergeCell ref="A346:A348"/>
    <mergeCell ref="B346:B348"/>
    <mergeCell ref="C347:C348"/>
    <mergeCell ref="A337:A338"/>
    <mergeCell ref="B337:B338"/>
    <mergeCell ref="A339:A340"/>
    <mergeCell ref="B339:B340"/>
    <mergeCell ref="A341:A343"/>
    <mergeCell ref="B341:B343"/>
    <mergeCell ref="A320:A332"/>
    <mergeCell ref="C321:C328"/>
    <mergeCell ref="C329:C332"/>
    <mergeCell ref="A333:A334"/>
    <mergeCell ref="B333:B334"/>
    <mergeCell ref="A335:A336"/>
    <mergeCell ref="B335:B336"/>
    <mergeCell ref="A287:A288"/>
    <mergeCell ref="B287:B288"/>
    <mergeCell ref="A289:A293"/>
    <mergeCell ref="B289:B293"/>
    <mergeCell ref="A294:A319"/>
    <mergeCell ref="C296:C312"/>
    <mergeCell ref="B304:B305"/>
    <mergeCell ref="C313:C316"/>
    <mergeCell ref="C317:C319"/>
    <mergeCell ref="A281:A282"/>
    <mergeCell ref="B281:B282"/>
    <mergeCell ref="A283:A284"/>
    <mergeCell ref="B283:B284"/>
    <mergeCell ref="A285:A286"/>
    <mergeCell ref="B285:B286"/>
    <mergeCell ref="A262:A277"/>
    <mergeCell ref="C263:C271"/>
    <mergeCell ref="C273:C277"/>
    <mergeCell ref="B276:B277"/>
    <mergeCell ref="A278:A280"/>
    <mergeCell ref="B278:B280"/>
    <mergeCell ref="A252:B252"/>
    <mergeCell ref="A253:A256"/>
    <mergeCell ref="C254:C256"/>
    <mergeCell ref="A257:A261"/>
    <mergeCell ref="C258:C261"/>
    <mergeCell ref="B259:B261"/>
    <mergeCell ref="A241:A246"/>
    <mergeCell ref="C242:C246"/>
    <mergeCell ref="A247:A248"/>
    <mergeCell ref="B247:B248"/>
    <mergeCell ref="A249:A251"/>
    <mergeCell ref="B249:B251"/>
    <mergeCell ref="C250:C251"/>
    <mergeCell ref="A197:A201"/>
    <mergeCell ref="B197:B201"/>
    <mergeCell ref="A202:B202"/>
    <mergeCell ref="A203:A229"/>
    <mergeCell ref="C204:C228"/>
    <mergeCell ref="A230:A240"/>
    <mergeCell ref="C231:C240"/>
    <mergeCell ref="A133:A159"/>
    <mergeCell ref="C134:C157"/>
    <mergeCell ref="B138:B139"/>
    <mergeCell ref="A160:A179"/>
    <mergeCell ref="C161:C179"/>
    <mergeCell ref="A180:A196"/>
    <mergeCell ref="C181:C196"/>
    <mergeCell ref="B184:B185"/>
    <mergeCell ref="B186:B188"/>
    <mergeCell ref="B189:B194"/>
    <mergeCell ref="A107:A109"/>
    <mergeCell ref="B107:B109"/>
    <mergeCell ref="A110:A111"/>
    <mergeCell ref="B110:B111"/>
    <mergeCell ref="A112:A132"/>
    <mergeCell ref="C113:C132"/>
    <mergeCell ref="A96:A98"/>
    <mergeCell ref="B96:B98"/>
    <mergeCell ref="A99:A102"/>
    <mergeCell ref="B99:B102"/>
    <mergeCell ref="C101:C102"/>
    <mergeCell ref="A103:A106"/>
    <mergeCell ref="B103:B106"/>
    <mergeCell ref="C105:C106"/>
    <mergeCell ref="A85:A89"/>
    <mergeCell ref="B85:B89"/>
    <mergeCell ref="C87:C89"/>
    <mergeCell ref="A90:A95"/>
    <mergeCell ref="B90:B95"/>
    <mergeCell ref="C92:C95"/>
    <mergeCell ref="A77:A78"/>
    <mergeCell ref="B77:B78"/>
    <mergeCell ref="A79:A82"/>
    <mergeCell ref="B79:B82"/>
    <mergeCell ref="C81:C82"/>
    <mergeCell ref="A83:A84"/>
    <mergeCell ref="B83:B84"/>
    <mergeCell ref="A70:A73"/>
    <mergeCell ref="B70:B73"/>
    <mergeCell ref="C72:C73"/>
    <mergeCell ref="A74:A76"/>
    <mergeCell ref="B74:B76"/>
    <mergeCell ref="B32:B33"/>
    <mergeCell ref="B35:B36"/>
    <mergeCell ref="B42:B44"/>
    <mergeCell ref="B45:B47"/>
    <mergeCell ref="B48:B49"/>
    <mergeCell ref="B51:B52"/>
    <mergeCell ref="A8:A9"/>
    <mergeCell ref="B8:B9"/>
    <mergeCell ref="A10:A69"/>
    <mergeCell ref="C11:C69"/>
    <mergeCell ref="B12:B14"/>
    <mergeCell ref="B15:B16"/>
    <mergeCell ref="B20:B21"/>
    <mergeCell ref="B26:B27"/>
    <mergeCell ref="B30:B31"/>
    <mergeCell ref="B53:B55"/>
    <mergeCell ref="B63:B66"/>
    <mergeCell ref="A1:I1"/>
    <mergeCell ref="A2:I2"/>
    <mergeCell ref="A4:A7"/>
    <mergeCell ref="B4:B7"/>
    <mergeCell ref="C4:C7"/>
    <mergeCell ref="D4:G4"/>
    <mergeCell ref="H4:I6"/>
    <mergeCell ref="D5:D7"/>
    <mergeCell ref="E5:E7"/>
    <mergeCell ref="F5:F7"/>
    <mergeCell ref="G5:G7"/>
  </mergeCells>
  <pageMargins left="0.19685039370078741" right="0.19685039370078741" top="0.78740157480314965" bottom="0.78740157480314965" header="0" footer="0"/>
  <pageSetup paperSize="9" fitToHeight="1000" orientation="landscape" r:id="rId1"/>
  <headerFooter scaleWithDoc="0"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приложение 10</vt:lpstr>
      <vt:lpstr>приложение 9</vt:lpstr>
      <vt:lpstr>приложение 9 (2)</vt:lpstr>
      <vt:lpstr>'приложение 10'!Заголовки_для_печати</vt:lpstr>
      <vt:lpstr>'приложение 9'!Заголовки_для_печати</vt:lpstr>
      <vt:lpstr>'приложение 9 (2)'!Заголовки_для_печати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Бакланова</dc:creator>
  <cp:lastModifiedBy>user</cp:lastModifiedBy>
  <cp:lastPrinted>2016-05-19T02:04:12Z</cp:lastPrinted>
  <dcterms:created xsi:type="dcterms:W3CDTF">2015-01-30T09:38:30Z</dcterms:created>
  <dcterms:modified xsi:type="dcterms:W3CDTF">2016-05-23T08:10:13Z</dcterms:modified>
</cp:coreProperties>
</file>